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uel Planning" sheetId="1" r:id="rId1"/>
    <sheet name="ETP" sheetId="2" r:id="rId2"/>
    <sheet name="Enroute Fuels" sheetId="3" r:id="rId3"/>
    <sheet name="Tas Check" sheetId="4" r:id="rId4"/>
    <sheet name="ARA" sheetId="5" r:id="rId5"/>
    <sheet name="Course" sheetId="6" r:id="rId6"/>
  </sheets>
  <definedNames/>
  <calcPr fullCalcOnLoad="1"/>
</workbook>
</file>

<file path=xl/sharedStrings.xml><?xml version="1.0" encoding="utf-8"?>
<sst xmlns="http://schemas.openxmlformats.org/spreadsheetml/2006/main" count="281" uniqueCount="206">
  <si>
    <t>Fuel Planning Worksheet</t>
  </si>
  <si>
    <t>Date</t>
  </si>
  <si>
    <t>Name</t>
  </si>
  <si>
    <t>Aircraft</t>
  </si>
  <si>
    <t>T/O Gross Weight</t>
  </si>
  <si>
    <t>Temp Dev / Cruise Temp Dev</t>
  </si>
  <si>
    <t xml:space="preserve">      TAS</t>
  </si>
  <si>
    <t>Cruise Alt / Pressure Alt</t>
  </si>
  <si>
    <t>Climb</t>
  </si>
  <si>
    <t>Data:</t>
  </si>
  <si>
    <t>Time</t>
  </si>
  <si>
    <t>Distance</t>
  </si>
  <si>
    <t>Fuel</t>
  </si>
  <si>
    <t>TAS</t>
  </si>
  <si>
    <t>Zone</t>
  </si>
  <si>
    <t>Gross</t>
  </si>
  <si>
    <t>Weight</t>
  </si>
  <si>
    <t xml:space="preserve">  Alt</t>
  </si>
  <si>
    <t>Total</t>
  </si>
  <si>
    <t>Fuel Flow</t>
  </si>
  <si>
    <t>Per Eng</t>
  </si>
  <si>
    <t>Start</t>
  </si>
  <si>
    <t>Cruise</t>
  </si>
  <si>
    <t>End</t>
  </si>
  <si>
    <t xml:space="preserve">     Avg Cruise</t>
  </si>
  <si>
    <r>
      <t xml:space="preserve">     </t>
    </r>
    <r>
      <rPr>
        <b/>
        <sz val="10"/>
        <rFont val="Arial"/>
        <family val="2"/>
      </rPr>
      <t>Fuel Flow</t>
    </r>
  </si>
  <si>
    <t>Enterable Fields In Green</t>
  </si>
  <si>
    <t>C-130</t>
  </si>
  <si>
    <t>Enter Range Summary Gross Weight</t>
  </si>
  <si>
    <t>TFF</t>
  </si>
  <si>
    <t>Block #1</t>
  </si>
  <si>
    <t xml:space="preserve">   FUEL</t>
  </si>
  <si>
    <t>Fuel Planning</t>
  </si>
  <si>
    <t>Cruise Ceiling</t>
  </si>
  <si>
    <t xml:space="preserve">  TIME</t>
  </si>
  <si>
    <t>1.Enroute</t>
  </si>
  <si>
    <t xml:space="preserve">2.Reserve </t>
  </si>
  <si>
    <t>3.Enroute+Reserve</t>
  </si>
  <si>
    <t>4.Alt+Missed App</t>
  </si>
  <si>
    <t>5.Holding 2.0 or 3.5</t>
  </si>
  <si>
    <t>6.Approach 1.0/4.0</t>
  </si>
  <si>
    <t>7.Identified Extra</t>
  </si>
  <si>
    <t>8.Takeoff3+4+5+6+7</t>
  </si>
  <si>
    <t>9.Taxi</t>
  </si>
  <si>
    <t>10.Required Ramp</t>
  </si>
  <si>
    <t>11. Actual Ramp</t>
  </si>
  <si>
    <t>12.Unidentified Extra</t>
  </si>
  <si>
    <t>(4+5+6)</t>
  </si>
  <si>
    <t>13.REQ OVHD DEST</t>
  </si>
  <si>
    <t>Missed Approach</t>
  </si>
  <si>
    <t>Endurance</t>
  </si>
  <si>
    <t xml:space="preserve">     HRS</t>
  </si>
  <si>
    <t>Minutes</t>
  </si>
  <si>
    <t>Extra Time</t>
  </si>
  <si>
    <t>Pressure Loss</t>
  </si>
  <si>
    <t xml:space="preserve">   Time ETP FSAF</t>
  </si>
  <si>
    <t>Identified Extra</t>
  </si>
  <si>
    <t>50 Lbs Min</t>
  </si>
  <si>
    <t>100 Lbs Min</t>
  </si>
  <si>
    <t>Icing</t>
  </si>
  <si>
    <t>500 Lbs Hour</t>
  </si>
  <si>
    <t xml:space="preserve">   Time</t>
  </si>
  <si>
    <t xml:space="preserve">   Fuel</t>
  </si>
  <si>
    <t>LSAF</t>
  </si>
  <si>
    <t>MDPT</t>
  </si>
  <si>
    <t>FSAF</t>
  </si>
  <si>
    <t xml:space="preserve">       DIST</t>
  </si>
  <si>
    <t xml:space="preserve">       TIME</t>
  </si>
  <si>
    <t xml:space="preserve">       TAS</t>
  </si>
  <si>
    <t xml:space="preserve">             -</t>
  </si>
  <si>
    <t xml:space="preserve">            =</t>
  </si>
  <si>
    <t xml:space="preserve">          GS</t>
  </si>
  <si>
    <t xml:space="preserve">         GS</t>
  </si>
  <si>
    <t xml:space="preserve">          Dist to ETP</t>
  </si>
  <si>
    <t>Time to ETP</t>
  </si>
  <si>
    <t>DIST(LSAF to FSAF)</t>
  </si>
  <si>
    <t xml:space="preserve">      =    T</t>
  </si>
  <si>
    <t>Min</t>
  </si>
  <si>
    <t>(WF2-WF1)+2(TAS)</t>
  </si>
  <si>
    <t>GSETP</t>
  </si>
  <si>
    <t xml:space="preserve">     GSO</t>
  </si>
  <si>
    <t xml:space="preserve">     GSC</t>
  </si>
  <si>
    <t>GSO</t>
  </si>
  <si>
    <t>GSC</t>
  </si>
  <si>
    <t>GSR</t>
  </si>
  <si>
    <t>Time ETP</t>
  </si>
  <si>
    <t>ETA Dest</t>
  </si>
  <si>
    <t>PFF</t>
  </si>
  <si>
    <t>Fuel Rem</t>
  </si>
  <si>
    <t>O/H Fuel</t>
  </si>
  <si>
    <t>Diff</t>
  </si>
  <si>
    <t>Fuel ETE</t>
  </si>
  <si>
    <t>ETE Dest</t>
  </si>
  <si>
    <t>EXT Time</t>
  </si>
  <si>
    <t>AFF</t>
  </si>
  <si>
    <t>Self Contained Approach Construction</t>
  </si>
  <si>
    <t>π</t>
  </si>
  <si>
    <t>180/π</t>
  </si>
  <si>
    <t>GS</t>
  </si>
  <si>
    <t>Airfield</t>
  </si>
  <si>
    <t>Rwy</t>
  </si>
  <si>
    <t>Begin Descent Point</t>
  </si>
  <si>
    <t>NM</t>
  </si>
  <si>
    <t>DESC&lt;</t>
  </si>
  <si>
    <t>Ft/NM</t>
  </si>
  <si>
    <t>Ft/Min</t>
  </si>
  <si>
    <t>MDA</t>
  </si>
  <si>
    <t xml:space="preserve">   500 FT</t>
  </si>
  <si>
    <t xml:space="preserve">   300 FT</t>
  </si>
  <si>
    <t xml:space="preserve">       10NM</t>
  </si>
  <si>
    <t xml:space="preserve">        9NM</t>
  </si>
  <si>
    <t xml:space="preserve">        8NM</t>
  </si>
  <si>
    <t>Max</t>
  </si>
  <si>
    <t xml:space="preserve">        7NM</t>
  </si>
  <si>
    <t xml:space="preserve">         6NM</t>
  </si>
  <si>
    <t xml:space="preserve">         5NM</t>
  </si>
  <si>
    <t xml:space="preserve">         4NM</t>
  </si>
  <si>
    <t xml:space="preserve">         3NM</t>
  </si>
  <si>
    <t>MAP</t>
  </si>
  <si>
    <t xml:space="preserve">        2NM</t>
  </si>
  <si>
    <r>
      <t xml:space="preserve">     </t>
    </r>
    <r>
      <rPr>
        <b/>
        <sz val="10"/>
        <rFont val="Arial"/>
        <family val="2"/>
      </rPr>
      <t>@</t>
    </r>
  </si>
  <si>
    <t xml:space="preserve">         1NM</t>
  </si>
  <si>
    <t xml:space="preserve">        .1NM</t>
  </si>
  <si>
    <t>Zero Glide Slope</t>
  </si>
  <si>
    <t>Construction</t>
  </si>
  <si>
    <t>Glide Slope Computation</t>
  </si>
  <si>
    <t>Minimum Altitude Computations</t>
  </si>
  <si>
    <t xml:space="preserve"> Computations</t>
  </si>
  <si>
    <t>Init Alt</t>
  </si>
  <si>
    <t>OBS Alt</t>
  </si>
  <si>
    <t>G Slope</t>
  </si>
  <si>
    <t>TDZE</t>
  </si>
  <si>
    <t>Min Clear</t>
  </si>
  <si>
    <t>Step Down Altitude</t>
  </si>
  <si>
    <t>Alt Desc</t>
  </si>
  <si>
    <t>Min Alt</t>
  </si>
  <si>
    <t>AT</t>
  </si>
  <si>
    <t>HAT</t>
  </si>
  <si>
    <t>Dist TDZ</t>
  </si>
  <si>
    <t>Dist Map</t>
  </si>
  <si>
    <t>Miles</t>
  </si>
  <si>
    <t>Obs toTDZ</t>
  </si>
  <si>
    <t>FT/NM</t>
  </si>
  <si>
    <t>G Speed</t>
  </si>
  <si>
    <t>LZ Information   SCNS</t>
  </si>
  <si>
    <t xml:space="preserve">     Zero Glide Slope</t>
  </si>
  <si>
    <t xml:space="preserve">  SCNS</t>
  </si>
  <si>
    <t>Mag Crse</t>
  </si>
  <si>
    <t>HAT/HAA</t>
  </si>
  <si>
    <t>Std Temp</t>
  </si>
  <si>
    <t>Enterable Fields in Green           &amp; Orange</t>
  </si>
  <si>
    <t xml:space="preserve">       Deviation Checks</t>
  </si>
  <si>
    <t>ALT (PA)</t>
  </si>
  <si>
    <t>TAS =</t>
  </si>
  <si>
    <t xml:space="preserve">    TAS</t>
  </si>
  <si>
    <t xml:space="preserve">  Corr</t>
  </si>
  <si>
    <t xml:space="preserve"> TOAT</t>
  </si>
  <si>
    <t>IOAT</t>
  </si>
  <si>
    <t xml:space="preserve"> 10-3</t>
  </si>
  <si>
    <t>MACH  =</t>
  </si>
  <si>
    <t>246-263</t>
  </si>
  <si>
    <t>Long-w+e</t>
  </si>
  <si>
    <t>TOAT</t>
  </si>
  <si>
    <t>263-277</t>
  </si>
  <si>
    <t>Lat</t>
  </si>
  <si>
    <t>IAS</t>
  </si>
  <si>
    <t>277-288</t>
  </si>
  <si>
    <t>TH</t>
  </si>
  <si>
    <t>CAS</t>
  </si>
  <si>
    <t>Temp Dev</t>
  </si>
  <si>
    <t>288-300</t>
  </si>
  <si>
    <t>Var +w-e</t>
  </si>
  <si>
    <t>EAS</t>
  </si>
  <si>
    <t>300-310</t>
  </si>
  <si>
    <t>Mag Hdg</t>
  </si>
  <si>
    <t>Dev</t>
  </si>
  <si>
    <t xml:space="preserve"> -Gauge</t>
  </si>
  <si>
    <t xml:space="preserve">    x=</t>
  </si>
  <si>
    <t>No 1 Ch</t>
  </si>
  <si>
    <t>CORR</t>
  </si>
  <si>
    <t xml:space="preserve"> -SCNS</t>
  </si>
  <si>
    <t xml:space="preserve">     TAS =</t>
  </si>
  <si>
    <t>No 2 Ch</t>
  </si>
  <si>
    <t>IAS  =</t>
  </si>
  <si>
    <t>STBY Ch</t>
  </si>
  <si>
    <t>CAS/661.5</t>
  </si>
  <si>
    <t>MACH =</t>
  </si>
  <si>
    <t>CH</t>
  </si>
  <si>
    <t>Whisky</t>
  </si>
  <si>
    <t>Course Correction</t>
  </si>
  <si>
    <t>Turn Point Lead</t>
  </si>
  <si>
    <t>90 Deg</t>
  </si>
  <si>
    <t xml:space="preserve">          XT</t>
  </si>
  <si>
    <t xml:space="preserve">        TKE </t>
  </si>
  <si>
    <t xml:space="preserve"> Angle</t>
  </si>
  <si>
    <t xml:space="preserve">        DTI</t>
  </si>
  <si>
    <t xml:space="preserve">       Dist</t>
  </si>
  <si>
    <t>Sine=</t>
  </si>
  <si>
    <t xml:space="preserve">        DCA</t>
  </si>
  <si>
    <t xml:space="preserve">         XT</t>
  </si>
  <si>
    <t>TKE+or-</t>
  </si>
  <si>
    <t xml:space="preserve">      2 Sec</t>
  </si>
  <si>
    <t xml:space="preserve">      Dist</t>
  </si>
  <si>
    <t>Radials</t>
  </si>
  <si>
    <t xml:space="preserve">     ETP to FSAF</t>
  </si>
  <si>
    <t>2+4+5+12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</si>
</sst>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h:mm;@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53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20" fontId="0" fillId="2" borderId="0" xfId="0" applyNumberFormat="1" applyFill="1" applyAlignment="1">
      <alignment/>
    </xf>
    <xf numFmtId="0" fontId="0" fillId="2" borderId="0" xfId="0" applyNumberFormat="1" applyFill="1" applyAlignment="1">
      <alignment/>
    </xf>
    <xf numFmtId="0" fontId="1" fillId="3" borderId="0" xfId="0" applyFont="1" applyFill="1" applyAlignment="1">
      <alignment/>
    </xf>
    <xf numFmtId="15" fontId="0" fillId="3" borderId="0" xfId="0" applyNumberFormat="1" applyFill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164" fontId="0" fillId="3" borderId="0" xfId="0" applyNumberFormat="1" applyFill="1" applyAlignment="1" applyProtection="1">
      <alignment/>
      <protection locked="0"/>
    </xf>
    <xf numFmtId="20" fontId="0" fillId="3" borderId="0" xfId="0" applyNumberFormat="1" applyFill="1" applyAlignment="1" applyProtection="1">
      <alignment/>
      <protection locked="0"/>
    </xf>
    <xf numFmtId="1" fontId="0" fillId="3" borderId="0" xfId="0" applyNumberFormat="1" applyFill="1" applyAlignment="1" applyProtection="1">
      <alignment/>
      <protection locked="0"/>
    </xf>
    <xf numFmtId="1" fontId="0" fillId="2" borderId="0" xfId="0" applyNumberFormat="1" applyFill="1" applyAlignment="1" applyProtection="1">
      <alignment/>
      <protection/>
    </xf>
    <xf numFmtId="1" fontId="0" fillId="2" borderId="0" xfId="0" applyNumberFormat="1" applyFill="1" applyAlignment="1">
      <alignment/>
    </xf>
    <xf numFmtId="0" fontId="0" fillId="4" borderId="0" xfId="0" applyFill="1" applyAlignment="1">
      <alignment/>
    </xf>
    <xf numFmtId="0" fontId="0" fillId="2" borderId="0" xfId="0" applyFill="1" applyAlignment="1" applyProtection="1">
      <alignment/>
      <protection/>
    </xf>
    <xf numFmtId="1" fontId="0" fillId="0" borderId="0" xfId="0" applyNumberFormat="1" applyAlignment="1">
      <alignment/>
    </xf>
    <xf numFmtId="1" fontId="0" fillId="4" borderId="0" xfId="0" applyNumberFormat="1" applyFill="1" applyAlignment="1">
      <alignment/>
    </xf>
    <xf numFmtId="0" fontId="0" fillId="5" borderId="0" xfId="0" applyFill="1" applyAlignment="1">
      <alignment/>
    </xf>
    <xf numFmtId="1" fontId="0" fillId="5" borderId="0" xfId="0" applyNumberFormat="1" applyFill="1" applyAlignment="1">
      <alignment/>
    </xf>
    <xf numFmtId="0" fontId="1" fillId="5" borderId="0" xfId="0" applyFont="1" applyFill="1" applyAlignment="1">
      <alignment/>
    </xf>
    <xf numFmtId="164" fontId="0" fillId="2" borderId="0" xfId="0" applyNumberFormat="1" applyFill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  <xf numFmtId="164" fontId="0" fillId="7" borderId="0" xfId="0" applyNumberFormat="1" applyFill="1" applyAlignment="1">
      <alignment/>
    </xf>
    <xf numFmtId="2" fontId="0" fillId="7" borderId="0" xfId="0" applyNumberFormat="1" applyFill="1" applyAlignment="1">
      <alignment/>
    </xf>
    <xf numFmtId="164" fontId="0" fillId="7" borderId="0" xfId="0" applyNumberFormat="1" applyFill="1" applyAlignment="1" applyProtection="1">
      <alignment/>
      <protection/>
    </xf>
    <xf numFmtId="20" fontId="0" fillId="2" borderId="0" xfId="0" applyNumberFormat="1" applyFill="1" applyAlignment="1" applyProtection="1">
      <alignment/>
      <protection/>
    </xf>
    <xf numFmtId="0" fontId="0" fillId="2" borderId="0" xfId="0" applyNumberFormat="1" applyFill="1" applyAlignment="1" applyProtection="1">
      <alignment/>
      <protection/>
    </xf>
    <xf numFmtId="0" fontId="0" fillId="3" borderId="0" xfId="0" applyNumberFormat="1" applyFill="1" applyAlignment="1" applyProtection="1">
      <alignment/>
      <protection locked="0"/>
    </xf>
    <xf numFmtId="20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Fill="1" applyAlignment="1">
      <alignment/>
    </xf>
    <xf numFmtId="20" fontId="0" fillId="7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7" borderId="0" xfId="0" applyNumberFormat="1" applyFill="1" applyAlignment="1">
      <alignment/>
    </xf>
    <xf numFmtId="1" fontId="0" fillId="7" borderId="0" xfId="0" applyNumberFormat="1" applyFill="1" applyAlignment="1">
      <alignment/>
    </xf>
    <xf numFmtId="0" fontId="1" fillId="3" borderId="0" xfId="0" applyFont="1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Alignment="1">
      <alignment/>
    </xf>
    <xf numFmtId="1" fontId="4" fillId="0" borderId="0" xfId="19" applyNumberFormat="1" applyAlignment="1">
      <alignment/>
    </xf>
    <xf numFmtId="1" fontId="0" fillId="5" borderId="0" xfId="0" applyNumberFormat="1" applyFill="1" applyAlignment="1">
      <alignment horizontal="center"/>
    </xf>
    <xf numFmtId="164" fontId="0" fillId="5" borderId="0" xfId="0" applyNumberFormat="1" applyFill="1" applyAlignment="1">
      <alignment horizontal="center"/>
    </xf>
    <xf numFmtId="2" fontId="0" fillId="3" borderId="0" xfId="0" applyNumberFormat="1" applyFill="1" applyAlignment="1" applyProtection="1">
      <alignment/>
      <protection locked="0"/>
    </xf>
    <xf numFmtId="2" fontId="0" fillId="2" borderId="0" xfId="0" applyNumberFormat="1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20" fontId="0" fillId="3" borderId="0" xfId="0" applyNumberFormat="1" applyFill="1" applyAlignment="1">
      <alignment/>
    </xf>
    <xf numFmtId="0" fontId="0" fillId="9" borderId="0" xfId="0" applyFill="1" applyAlignment="1" applyProtection="1">
      <alignment/>
      <protection locked="0"/>
    </xf>
    <xf numFmtId="0" fontId="0" fillId="3" borderId="0" xfId="0" applyFont="1" applyFill="1" applyAlignment="1">
      <alignment/>
    </xf>
    <xf numFmtId="0" fontId="0" fillId="4" borderId="0" xfId="0" applyFill="1" applyAlignment="1" applyProtection="1">
      <alignment/>
      <protection locked="0"/>
    </xf>
    <xf numFmtId="164" fontId="0" fillId="10" borderId="0" xfId="0" applyNumberFormat="1" applyFill="1" applyAlignment="1">
      <alignment/>
    </xf>
    <xf numFmtId="165" fontId="0" fillId="0" borderId="0" xfId="0" applyNumberFormat="1" applyAlignment="1">
      <alignment/>
    </xf>
    <xf numFmtId="1" fontId="0" fillId="2" borderId="0" xfId="0" applyNumberFormat="1" applyFill="1" applyAlignment="1">
      <alignment horizontal="right"/>
    </xf>
    <xf numFmtId="166" fontId="0" fillId="0" borderId="0" xfId="0" applyNumberFormat="1" applyAlignment="1">
      <alignment/>
    </xf>
    <xf numFmtId="0" fontId="0" fillId="0" borderId="0" xfId="0" applyAlignment="1">
      <alignment horizontal="right"/>
    </xf>
    <xf numFmtId="20" fontId="0" fillId="2" borderId="0" xfId="0" applyNumberFormat="1" applyFill="1" applyAlignment="1" applyProtection="1">
      <alignment horizontal="right"/>
      <protection locked="0"/>
    </xf>
    <xf numFmtId="0" fontId="0" fillId="2" borderId="0" xfId="0" applyFill="1" applyAlignment="1" applyProtection="1">
      <alignment horizontal="right"/>
      <protection locked="0"/>
    </xf>
    <xf numFmtId="20" fontId="3" fillId="7" borderId="0" xfId="0" applyNumberFormat="1" applyFont="1" applyFill="1" applyAlignment="1">
      <alignment/>
    </xf>
    <xf numFmtId="0" fontId="1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15</xdr:row>
      <xdr:rowOff>0</xdr:rowOff>
    </xdr:from>
    <xdr:to>
      <xdr:col>7</xdr:col>
      <xdr:colOff>0</xdr:colOff>
      <xdr:row>15</xdr:row>
      <xdr:rowOff>152400</xdr:rowOff>
    </xdr:to>
    <xdr:sp>
      <xdr:nvSpPr>
        <xdr:cNvPr id="1" name="Line 1"/>
        <xdr:cNvSpPr>
          <a:spLocks/>
        </xdr:cNvSpPr>
      </xdr:nvSpPr>
      <xdr:spPr>
        <a:xfrm flipV="1">
          <a:off x="3667125" y="2428875"/>
          <a:ext cx="6096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21</xdr:row>
      <xdr:rowOff>76200</xdr:rowOff>
    </xdr:from>
    <xdr:to>
      <xdr:col>9</xdr:col>
      <xdr:colOff>590550</xdr:colOff>
      <xdr:row>21</xdr:row>
      <xdr:rowOff>76200</xdr:rowOff>
    </xdr:to>
    <xdr:sp>
      <xdr:nvSpPr>
        <xdr:cNvPr id="2" name="Line 2"/>
        <xdr:cNvSpPr>
          <a:spLocks/>
        </xdr:cNvSpPr>
      </xdr:nvSpPr>
      <xdr:spPr>
        <a:xfrm>
          <a:off x="5743575" y="34766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295275</xdr:colOff>
      <xdr:row>17</xdr:row>
      <xdr:rowOff>152400</xdr:rowOff>
    </xdr:from>
    <xdr:to>
      <xdr:col>12</xdr:col>
      <xdr:colOff>295275</xdr:colOff>
      <xdr:row>20</xdr:row>
      <xdr:rowOff>142875</xdr:rowOff>
    </xdr:to>
    <xdr:sp>
      <xdr:nvSpPr>
        <xdr:cNvPr id="3" name="Line 3"/>
        <xdr:cNvSpPr>
          <a:spLocks/>
        </xdr:cNvSpPr>
      </xdr:nvSpPr>
      <xdr:spPr>
        <a:xfrm>
          <a:off x="7829550" y="290512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23</xdr:row>
      <xdr:rowOff>76200</xdr:rowOff>
    </xdr:from>
    <xdr:to>
      <xdr:col>12</xdr:col>
      <xdr:colOff>0</xdr:colOff>
      <xdr:row>23</xdr:row>
      <xdr:rowOff>76200</xdr:rowOff>
    </xdr:to>
    <xdr:sp>
      <xdr:nvSpPr>
        <xdr:cNvPr id="4" name="Line 4"/>
        <xdr:cNvSpPr>
          <a:spLocks/>
        </xdr:cNvSpPr>
      </xdr:nvSpPr>
      <xdr:spPr>
        <a:xfrm flipH="1">
          <a:off x="7000875" y="38004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14</xdr:row>
      <xdr:rowOff>0</xdr:rowOff>
    </xdr:from>
    <xdr:to>
      <xdr:col>9</xdr:col>
      <xdr:colOff>304800</xdr:colOff>
      <xdr:row>18</xdr:row>
      <xdr:rowOff>95250</xdr:rowOff>
    </xdr:to>
    <xdr:sp>
      <xdr:nvSpPr>
        <xdr:cNvPr id="5" name="Line 5"/>
        <xdr:cNvSpPr>
          <a:spLocks/>
        </xdr:cNvSpPr>
      </xdr:nvSpPr>
      <xdr:spPr>
        <a:xfrm>
          <a:off x="6010275" y="226695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304800</xdr:colOff>
      <xdr:row>13</xdr:row>
      <xdr:rowOff>142875</xdr:rowOff>
    </xdr:from>
    <xdr:to>
      <xdr:col>10</xdr:col>
      <xdr:colOff>304800</xdr:colOff>
      <xdr:row>18</xdr:row>
      <xdr:rowOff>85725</xdr:rowOff>
    </xdr:to>
    <xdr:sp>
      <xdr:nvSpPr>
        <xdr:cNvPr id="6" name="Line 6"/>
        <xdr:cNvSpPr>
          <a:spLocks/>
        </xdr:cNvSpPr>
      </xdr:nvSpPr>
      <xdr:spPr>
        <a:xfrm>
          <a:off x="6619875" y="224790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7</xdr:col>
      <xdr:colOff>0</xdr:colOff>
      <xdr:row>15</xdr:row>
      <xdr:rowOff>152400</xdr:rowOff>
    </xdr:to>
    <xdr:sp>
      <xdr:nvSpPr>
        <xdr:cNvPr id="7" name="Line 7"/>
        <xdr:cNvSpPr>
          <a:spLocks/>
        </xdr:cNvSpPr>
      </xdr:nvSpPr>
      <xdr:spPr>
        <a:xfrm flipV="1">
          <a:off x="3667125" y="2428875"/>
          <a:ext cx="6096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21</xdr:row>
      <xdr:rowOff>76200</xdr:rowOff>
    </xdr:from>
    <xdr:to>
      <xdr:col>9</xdr:col>
      <xdr:colOff>590550</xdr:colOff>
      <xdr:row>21</xdr:row>
      <xdr:rowOff>76200</xdr:rowOff>
    </xdr:to>
    <xdr:sp>
      <xdr:nvSpPr>
        <xdr:cNvPr id="8" name="Line 8"/>
        <xdr:cNvSpPr>
          <a:spLocks/>
        </xdr:cNvSpPr>
      </xdr:nvSpPr>
      <xdr:spPr>
        <a:xfrm>
          <a:off x="5743575" y="34766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295275</xdr:colOff>
      <xdr:row>17</xdr:row>
      <xdr:rowOff>152400</xdr:rowOff>
    </xdr:from>
    <xdr:to>
      <xdr:col>12</xdr:col>
      <xdr:colOff>295275</xdr:colOff>
      <xdr:row>20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829550" y="290512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23</xdr:row>
      <xdr:rowOff>76200</xdr:rowOff>
    </xdr:from>
    <xdr:to>
      <xdr:col>12</xdr:col>
      <xdr:colOff>0</xdr:colOff>
      <xdr:row>23</xdr:row>
      <xdr:rowOff>76200</xdr:rowOff>
    </xdr:to>
    <xdr:sp>
      <xdr:nvSpPr>
        <xdr:cNvPr id="10" name="Line 10"/>
        <xdr:cNvSpPr>
          <a:spLocks/>
        </xdr:cNvSpPr>
      </xdr:nvSpPr>
      <xdr:spPr>
        <a:xfrm flipH="1">
          <a:off x="7000875" y="38004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14</xdr:row>
      <xdr:rowOff>0</xdr:rowOff>
    </xdr:from>
    <xdr:to>
      <xdr:col>9</xdr:col>
      <xdr:colOff>304800</xdr:colOff>
      <xdr:row>18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6010275" y="226695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304800</xdr:colOff>
      <xdr:row>13</xdr:row>
      <xdr:rowOff>142875</xdr:rowOff>
    </xdr:from>
    <xdr:to>
      <xdr:col>10</xdr:col>
      <xdr:colOff>304800</xdr:colOff>
      <xdr:row>18</xdr:row>
      <xdr:rowOff>85725</xdr:rowOff>
    </xdr:to>
    <xdr:sp>
      <xdr:nvSpPr>
        <xdr:cNvPr id="12" name="Line 12"/>
        <xdr:cNvSpPr>
          <a:spLocks/>
        </xdr:cNvSpPr>
      </xdr:nvSpPr>
      <xdr:spPr>
        <a:xfrm>
          <a:off x="6619875" y="224790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7</xdr:col>
      <xdr:colOff>0</xdr:colOff>
      <xdr:row>15</xdr:row>
      <xdr:rowOff>152400</xdr:rowOff>
    </xdr:to>
    <xdr:sp>
      <xdr:nvSpPr>
        <xdr:cNvPr id="13" name="Line 13"/>
        <xdr:cNvSpPr>
          <a:spLocks/>
        </xdr:cNvSpPr>
      </xdr:nvSpPr>
      <xdr:spPr>
        <a:xfrm flipV="1">
          <a:off x="3667125" y="2428875"/>
          <a:ext cx="6096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21</xdr:row>
      <xdr:rowOff>76200</xdr:rowOff>
    </xdr:from>
    <xdr:to>
      <xdr:col>9</xdr:col>
      <xdr:colOff>590550</xdr:colOff>
      <xdr:row>21</xdr:row>
      <xdr:rowOff>76200</xdr:rowOff>
    </xdr:to>
    <xdr:sp>
      <xdr:nvSpPr>
        <xdr:cNvPr id="14" name="Line 14"/>
        <xdr:cNvSpPr>
          <a:spLocks/>
        </xdr:cNvSpPr>
      </xdr:nvSpPr>
      <xdr:spPr>
        <a:xfrm>
          <a:off x="5743575" y="34766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295275</xdr:colOff>
      <xdr:row>17</xdr:row>
      <xdr:rowOff>152400</xdr:rowOff>
    </xdr:from>
    <xdr:to>
      <xdr:col>12</xdr:col>
      <xdr:colOff>295275</xdr:colOff>
      <xdr:row>20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829550" y="290512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23</xdr:row>
      <xdr:rowOff>76200</xdr:rowOff>
    </xdr:from>
    <xdr:to>
      <xdr:col>12</xdr:col>
      <xdr:colOff>0</xdr:colOff>
      <xdr:row>23</xdr:row>
      <xdr:rowOff>76200</xdr:rowOff>
    </xdr:to>
    <xdr:sp>
      <xdr:nvSpPr>
        <xdr:cNvPr id="16" name="Line 16"/>
        <xdr:cNvSpPr>
          <a:spLocks/>
        </xdr:cNvSpPr>
      </xdr:nvSpPr>
      <xdr:spPr>
        <a:xfrm flipH="1">
          <a:off x="7000875" y="38004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14</xdr:row>
      <xdr:rowOff>0</xdr:rowOff>
    </xdr:from>
    <xdr:to>
      <xdr:col>9</xdr:col>
      <xdr:colOff>304800</xdr:colOff>
      <xdr:row>18</xdr:row>
      <xdr:rowOff>95250</xdr:rowOff>
    </xdr:to>
    <xdr:sp>
      <xdr:nvSpPr>
        <xdr:cNvPr id="17" name="Line 17"/>
        <xdr:cNvSpPr>
          <a:spLocks/>
        </xdr:cNvSpPr>
      </xdr:nvSpPr>
      <xdr:spPr>
        <a:xfrm>
          <a:off x="6010275" y="226695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304800</xdr:colOff>
      <xdr:row>13</xdr:row>
      <xdr:rowOff>142875</xdr:rowOff>
    </xdr:from>
    <xdr:to>
      <xdr:col>10</xdr:col>
      <xdr:colOff>304800</xdr:colOff>
      <xdr:row>18</xdr:row>
      <xdr:rowOff>85725</xdr:rowOff>
    </xdr:to>
    <xdr:sp>
      <xdr:nvSpPr>
        <xdr:cNvPr id="18" name="Line 18"/>
        <xdr:cNvSpPr>
          <a:spLocks/>
        </xdr:cNvSpPr>
      </xdr:nvSpPr>
      <xdr:spPr>
        <a:xfrm>
          <a:off x="6619875" y="224790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16</xdr:row>
      <xdr:rowOff>152400</xdr:rowOff>
    </xdr:from>
    <xdr:to>
      <xdr:col>2</xdr:col>
      <xdr:colOff>9525</xdr:colOff>
      <xdr:row>16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600075" y="2743200"/>
          <a:ext cx="6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0</xdr:rowOff>
    </xdr:from>
    <xdr:to>
      <xdr:col>12</xdr:col>
      <xdr:colOff>9525</xdr:colOff>
      <xdr:row>16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1228725" y="1133475"/>
          <a:ext cx="6096000" cy="15906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">
      <selection activeCell="A1" sqref="A1"/>
    </sheetView>
  </sheetViews>
  <sheetFormatPr defaultColWidth="9.140625" defaultRowHeight="12.75"/>
  <cols>
    <col min="7" max="7" width="9.28125" style="0" bestFit="1" customWidth="1"/>
    <col min="8" max="8" width="12.28125" style="0" bestFit="1" customWidth="1"/>
  </cols>
  <sheetData>
    <row r="1" spans="1:12" ht="12.75">
      <c r="A1" s="1" t="s">
        <v>32</v>
      </c>
      <c r="E1" s="6" t="s">
        <v>26</v>
      </c>
      <c r="F1" s="3"/>
      <c r="G1" s="3"/>
      <c r="H1" s="20" t="s">
        <v>28</v>
      </c>
      <c r="I1" s="18"/>
      <c r="J1" s="18"/>
      <c r="K1" s="18"/>
      <c r="L1" s="14"/>
    </row>
    <row r="2" spans="3:4" ht="12.75">
      <c r="C2" s="1" t="s">
        <v>34</v>
      </c>
      <c r="D2" s="1" t="s">
        <v>31</v>
      </c>
    </row>
    <row r="3" spans="1:4" ht="12.75">
      <c r="A3" t="s">
        <v>35</v>
      </c>
      <c r="C3" s="4">
        <f>I15</f>
        <v>0</v>
      </c>
      <c r="D3" s="21">
        <f>M22/1000</f>
        <v>0</v>
      </c>
    </row>
    <row r="4" spans="1:11" ht="12.75">
      <c r="A4" t="s">
        <v>36</v>
      </c>
      <c r="C4" s="10"/>
      <c r="D4" s="21">
        <f>C35/1000</f>
        <v>0</v>
      </c>
      <c r="G4" s="1" t="s">
        <v>0</v>
      </c>
      <c r="K4" s="1" t="s">
        <v>1</v>
      </c>
    </row>
    <row r="5" spans="1:11" ht="12.75">
      <c r="A5" t="s">
        <v>37</v>
      </c>
      <c r="C5" s="4">
        <f>C3+C4</f>
        <v>0</v>
      </c>
      <c r="D5" s="21">
        <f>D3+D4</f>
        <v>0</v>
      </c>
      <c r="K5" s="7"/>
    </row>
    <row r="6" spans="1:11" ht="12.75">
      <c r="A6" t="s">
        <v>38</v>
      </c>
      <c r="C6" s="10"/>
      <c r="D6" s="21">
        <f>D36+C18</f>
        <v>0</v>
      </c>
      <c r="E6" s="1" t="s">
        <v>2</v>
      </c>
      <c r="I6" s="1" t="s">
        <v>3</v>
      </c>
      <c r="K6" s="1" t="s">
        <v>4</v>
      </c>
    </row>
    <row r="7" spans="1:12" ht="12.75">
      <c r="A7" t="s">
        <v>39</v>
      </c>
      <c r="C7" s="24"/>
      <c r="D7" s="9"/>
      <c r="E7" s="8"/>
      <c r="I7" s="15" t="s">
        <v>27</v>
      </c>
      <c r="L7" s="9"/>
    </row>
    <row r="8" spans="1:11" ht="12.75">
      <c r="A8" t="s">
        <v>40</v>
      </c>
      <c r="C8" s="24"/>
      <c r="D8" s="9"/>
      <c r="E8" s="1" t="s">
        <v>5</v>
      </c>
      <c r="H8" s="1" t="s">
        <v>6</v>
      </c>
      <c r="I8" s="1" t="s">
        <v>33</v>
      </c>
      <c r="K8" s="1" t="s">
        <v>7</v>
      </c>
    </row>
    <row r="9" spans="1:11" ht="12.75">
      <c r="A9" t="s">
        <v>41</v>
      </c>
      <c r="C9" s="29">
        <f>C26+C28+F28+I28</f>
        <v>0</v>
      </c>
      <c r="D9" s="28">
        <f>D26+C29+F29+I29</f>
        <v>0</v>
      </c>
      <c r="E9" s="8"/>
      <c r="F9" s="8"/>
      <c r="H9" s="8"/>
      <c r="I9" s="8"/>
      <c r="K9" s="8"/>
    </row>
    <row r="10" spans="1:13" ht="12.75">
      <c r="A10" t="s">
        <v>42</v>
      </c>
      <c r="C10" s="24"/>
      <c r="D10" s="21">
        <f>D5+D6+D7+D8+D9</f>
        <v>0</v>
      </c>
      <c r="E10" s="1" t="s">
        <v>8</v>
      </c>
      <c r="G10" s="1" t="s">
        <v>10</v>
      </c>
      <c r="I10" s="1" t="s">
        <v>11</v>
      </c>
      <c r="K10" s="1" t="s">
        <v>12</v>
      </c>
      <c r="M10" s="1" t="s">
        <v>13</v>
      </c>
    </row>
    <row r="11" spans="1:5" ht="12.75">
      <c r="A11" t="s">
        <v>43</v>
      </c>
      <c r="B11" s="8">
        <v>1.3</v>
      </c>
      <c r="C11" s="24"/>
      <c r="D11" s="2">
        <f>B11</f>
        <v>1.3</v>
      </c>
      <c r="E11" s="1" t="s">
        <v>9</v>
      </c>
    </row>
    <row r="12" spans="1:13" ht="12.75">
      <c r="A12" t="s">
        <v>44</v>
      </c>
      <c r="C12" s="24"/>
      <c r="D12" s="21">
        <f>D10+D11</f>
        <v>1.3</v>
      </c>
      <c r="G12" s="10"/>
      <c r="I12" s="11"/>
      <c r="K12" s="8"/>
      <c r="M12" s="12" t="e">
        <f>I12/MINUTE(G12)*60</f>
        <v>#DIV/0!</v>
      </c>
    </row>
    <row r="13" spans="1:13" ht="12.75">
      <c r="A13" t="s">
        <v>45</v>
      </c>
      <c r="D13" s="9"/>
      <c r="E13" s="1" t="s">
        <v>14</v>
      </c>
      <c r="F13" s="1" t="s">
        <v>15</v>
      </c>
      <c r="G13" s="1" t="s">
        <v>17</v>
      </c>
      <c r="H13" s="1" t="s">
        <v>14</v>
      </c>
      <c r="I13" s="1" t="s">
        <v>18</v>
      </c>
      <c r="J13" s="1" t="s">
        <v>19</v>
      </c>
      <c r="K13" s="1" t="s">
        <v>19</v>
      </c>
      <c r="L13" s="1" t="s">
        <v>14</v>
      </c>
      <c r="M13" s="1" t="s">
        <v>18</v>
      </c>
    </row>
    <row r="14" spans="1:13" ht="12.75">
      <c r="A14" t="s">
        <v>46</v>
      </c>
      <c r="C14" s="24"/>
      <c r="D14" s="21">
        <f>D13-D12</f>
        <v>-1.3</v>
      </c>
      <c r="F14" s="1" t="s">
        <v>16</v>
      </c>
      <c r="H14" s="1" t="s">
        <v>10</v>
      </c>
      <c r="I14" s="1" t="s">
        <v>10</v>
      </c>
      <c r="J14" s="1" t="s">
        <v>20</v>
      </c>
      <c r="K14" s="1" t="s">
        <v>18</v>
      </c>
      <c r="L14" s="1" t="s">
        <v>12</v>
      </c>
      <c r="M14" s="1" t="s">
        <v>12</v>
      </c>
    </row>
    <row r="15" spans="1:9" ht="12.75">
      <c r="A15" t="s">
        <v>48</v>
      </c>
      <c r="C15" s="24"/>
      <c r="D15" s="21">
        <f>D6+D7+D8</f>
        <v>0</v>
      </c>
      <c r="E15" s="1"/>
      <c r="I15" s="10"/>
    </row>
    <row r="16" spans="1:12" ht="12.75">
      <c r="A16" t="s">
        <v>47</v>
      </c>
      <c r="E16" s="1" t="s">
        <v>8</v>
      </c>
      <c r="F16" s="30">
        <f>L7*1000</f>
        <v>0</v>
      </c>
      <c r="I16" s="4">
        <f>G12</f>
        <v>0</v>
      </c>
      <c r="L16" s="2">
        <f>K12</f>
        <v>0</v>
      </c>
    </row>
    <row r="17" spans="3:13" ht="12.75">
      <c r="C17" t="s">
        <v>62</v>
      </c>
      <c r="E17" s="1" t="s">
        <v>8</v>
      </c>
      <c r="M17" s="1" t="s">
        <v>30</v>
      </c>
    </row>
    <row r="18" spans="1:13" ht="12.75">
      <c r="A18" t="s">
        <v>49</v>
      </c>
      <c r="C18" s="8"/>
      <c r="E18" s="1" t="s">
        <v>12</v>
      </c>
      <c r="F18" s="2">
        <f>K12</f>
        <v>0</v>
      </c>
      <c r="M18" s="1" t="s">
        <v>31</v>
      </c>
    </row>
    <row r="19" ht="12.75">
      <c r="E19" s="1" t="s">
        <v>21</v>
      </c>
    </row>
    <row r="20" spans="1:12" ht="12.75">
      <c r="A20" t="s">
        <v>50</v>
      </c>
      <c r="C20" t="s">
        <v>51</v>
      </c>
      <c r="D20" s="2" t="e">
        <f>F35</f>
        <v>#DIV/0!</v>
      </c>
      <c r="E20" s="1" t="s">
        <v>22</v>
      </c>
      <c r="F20" s="18">
        <f>F16-F18</f>
        <v>0</v>
      </c>
      <c r="G20" s="8"/>
      <c r="H20" s="5">
        <f>HOUR(I20)*60+MINUTE(I20)</f>
        <v>0</v>
      </c>
      <c r="I20" s="4">
        <f>I15-I16</f>
        <v>0</v>
      </c>
      <c r="J20" s="8"/>
      <c r="K20" s="2">
        <f>J20*4</f>
        <v>0</v>
      </c>
      <c r="L20" s="13">
        <f>H20*K20/60</f>
        <v>0</v>
      </c>
    </row>
    <row r="21" spans="3:5" ht="12.75">
      <c r="C21" t="s">
        <v>52</v>
      </c>
      <c r="D21" s="13" t="e">
        <f>F37</f>
        <v>#DIV/0!</v>
      </c>
      <c r="E21" s="1" t="s">
        <v>22</v>
      </c>
    </row>
    <row r="22" spans="5:13" ht="12.75">
      <c r="E22" s="1" t="s">
        <v>12</v>
      </c>
      <c r="F22" s="13">
        <f>L20</f>
        <v>0</v>
      </c>
      <c r="H22" s="1" t="s">
        <v>24</v>
      </c>
      <c r="K22" s="2">
        <f>(K20+K24)/2</f>
        <v>0</v>
      </c>
      <c r="L22" s="16">
        <f>H20*K22/60</f>
        <v>0</v>
      </c>
      <c r="M22" s="13">
        <f>L16+L22</f>
        <v>0</v>
      </c>
    </row>
    <row r="23" spans="1:8" ht="12.75">
      <c r="A23" t="s">
        <v>53</v>
      </c>
      <c r="C23" t="s">
        <v>51</v>
      </c>
      <c r="D23" s="2" t="e">
        <f>G35</f>
        <v>#DIV/0!</v>
      </c>
      <c r="E23" s="1" t="s">
        <v>23</v>
      </c>
      <c r="H23" t="s">
        <v>25</v>
      </c>
    </row>
    <row r="24" spans="3:13" ht="12.75">
      <c r="C24" t="s">
        <v>52</v>
      </c>
      <c r="D24" s="13" t="e">
        <f>G37</f>
        <v>#DIV/0!</v>
      </c>
      <c r="E24" s="1" t="s">
        <v>22</v>
      </c>
      <c r="F24" s="19">
        <f>F20-F22</f>
        <v>0</v>
      </c>
      <c r="G24" s="8"/>
      <c r="J24" s="8"/>
      <c r="K24" s="2">
        <f>J24*4</f>
        <v>0</v>
      </c>
      <c r="L24" s="17"/>
      <c r="M24" s="1" t="s">
        <v>29</v>
      </c>
    </row>
    <row r="25" spans="1:3" ht="12.75">
      <c r="A25" t="s">
        <v>54</v>
      </c>
      <c r="C25" t="s">
        <v>61</v>
      </c>
    </row>
    <row r="26" spans="1:4" ht="12.75">
      <c r="A26" t="s">
        <v>55</v>
      </c>
      <c r="C26" s="10"/>
      <c r="D26" s="26">
        <f>H35</f>
        <v>0</v>
      </c>
    </row>
    <row r="27" spans="1:9" ht="12.75">
      <c r="A27" t="s">
        <v>205</v>
      </c>
      <c r="B27" s="21">
        <f>D4+D6+D7+D14</f>
        <v>-1.3</v>
      </c>
      <c r="C27" t="s">
        <v>61</v>
      </c>
      <c r="F27" t="s">
        <v>61</v>
      </c>
      <c r="I27" t="s">
        <v>61</v>
      </c>
    </row>
    <row r="28" spans="1:9" ht="12.75">
      <c r="A28" t="s">
        <v>56</v>
      </c>
      <c r="C28" s="10"/>
      <c r="D28" t="s">
        <v>56</v>
      </c>
      <c r="F28" s="10"/>
      <c r="G28" t="s">
        <v>59</v>
      </c>
      <c r="I28" s="10"/>
    </row>
    <row r="29" spans="1:9" ht="12.75">
      <c r="A29" t="s">
        <v>57</v>
      </c>
      <c r="C29" s="26">
        <f>I35</f>
        <v>0</v>
      </c>
      <c r="D29" t="s">
        <v>58</v>
      </c>
      <c r="F29" s="26">
        <f>J35</f>
        <v>0</v>
      </c>
      <c r="G29" t="s">
        <v>60</v>
      </c>
      <c r="I29" s="27">
        <f>K36</f>
        <v>0</v>
      </c>
    </row>
    <row r="33" spans="3:11" ht="12.75" hidden="1">
      <c r="C33" s="22">
        <f>HOUR(C4)*60+MINUTE(C4)</f>
        <v>0</v>
      </c>
      <c r="D33" s="16">
        <f>HOUR(C6)*60+MINUTE(C6)</f>
        <v>0</v>
      </c>
      <c r="E33" s="16">
        <f>HOUR(C9)*60+MINUTE(C9)</f>
        <v>0</v>
      </c>
      <c r="F33" s="23">
        <f>D13-D11</f>
        <v>-1.3</v>
      </c>
      <c r="G33" s="23">
        <f>D4+D9+D14</f>
        <v>-1.3</v>
      </c>
      <c r="H33" s="25">
        <f>HOUR(C26)*60+MINUTE(C26)</f>
        <v>0</v>
      </c>
      <c r="I33" s="16">
        <f>HOUR(C28)*60+MINUTE(C28)</f>
        <v>0</v>
      </c>
      <c r="J33" s="16">
        <f>HOUR(F28)*60+MINUTE(F28)</f>
        <v>0</v>
      </c>
      <c r="K33" s="16">
        <f>HOUR(I28)*60+MINUTE(I28)</f>
        <v>0</v>
      </c>
    </row>
    <row r="34" spans="3:11" ht="12.75" hidden="1">
      <c r="C34">
        <f>C33/60</f>
        <v>0</v>
      </c>
      <c r="D34" s="22">
        <f>D33*K24</f>
        <v>0</v>
      </c>
      <c r="E34">
        <f>E33*50</f>
        <v>0</v>
      </c>
      <c r="F34" t="e">
        <f>F33/(K22/1000)</f>
        <v>#DIV/0!</v>
      </c>
      <c r="G34" t="e">
        <f>G33/(K22/1000)</f>
        <v>#DIV/0!</v>
      </c>
      <c r="H34">
        <f>H33*1000/60</f>
        <v>0</v>
      </c>
      <c r="I34">
        <f>I33*50</f>
        <v>0</v>
      </c>
      <c r="J34">
        <f>J33*100</f>
        <v>0</v>
      </c>
      <c r="K34">
        <f>K33*500</f>
        <v>0</v>
      </c>
    </row>
    <row r="35" spans="3:11" ht="12.75" hidden="1">
      <c r="C35">
        <f>C34*K24</f>
        <v>0</v>
      </c>
      <c r="D35" s="62">
        <f>D34/60</f>
        <v>0</v>
      </c>
      <c r="E35">
        <f>E34/1000</f>
        <v>0</v>
      </c>
      <c r="F35" t="e">
        <f>INT(F34)</f>
        <v>#DIV/0!</v>
      </c>
      <c r="G35" t="e">
        <f>INT(G34)</f>
        <v>#DIV/0!</v>
      </c>
      <c r="H35">
        <f>H34/1000</f>
        <v>0</v>
      </c>
      <c r="I35">
        <f>I34/1000</f>
        <v>0</v>
      </c>
      <c r="J35">
        <f>J34/1000</f>
        <v>0</v>
      </c>
      <c r="K35" s="23">
        <f>K34/60</f>
        <v>0</v>
      </c>
    </row>
    <row r="36" spans="4:11" ht="12.75" hidden="1">
      <c r="D36">
        <f>D35/1000</f>
        <v>0</v>
      </c>
      <c r="F36" s="22" t="e">
        <f>F34-F35</f>
        <v>#DIV/0!</v>
      </c>
      <c r="G36" t="e">
        <f>G34-G35</f>
        <v>#DIV/0!</v>
      </c>
      <c r="K36" s="25">
        <f>K35/1000</f>
        <v>0</v>
      </c>
    </row>
    <row r="37" spans="6:7" ht="12.75" hidden="1">
      <c r="F37" s="16" t="e">
        <f>F36*60</f>
        <v>#DIV/0!</v>
      </c>
      <c r="G37" s="16" t="e">
        <f>G36*60</f>
        <v>#DIV/0!</v>
      </c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A1" sqref="A1"/>
    </sheetView>
  </sheetViews>
  <sheetFormatPr defaultColWidth="9.140625" defaultRowHeight="12.75"/>
  <cols>
    <col min="3" max="3" width="12.28125" style="0" bestFit="1" customWidth="1"/>
    <col min="7" max="7" width="12.28125" style="0" bestFit="1" customWidth="1"/>
  </cols>
  <sheetData>
    <row r="1" spans="1:6" ht="12.75">
      <c r="A1" t="s">
        <v>63</v>
      </c>
      <c r="B1" s="8"/>
      <c r="C1" t="s">
        <v>64</v>
      </c>
      <c r="D1" s="8"/>
      <c r="E1" t="s">
        <v>65</v>
      </c>
      <c r="F1" s="8"/>
    </row>
    <row r="2" spans="1:10" ht="12.75">
      <c r="A2" t="s">
        <v>66</v>
      </c>
      <c r="B2" s="8"/>
      <c r="C2" t="s">
        <v>67</v>
      </c>
      <c r="D2" s="10"/>
      <c r="E2" t="s">
        <v>66</v>
      </c>
      <c r="F2" s="31"/>
      <c r="G2" t="s">
        <v>67</v>
      </c>
      <c r="H2" s="10"/>
      <c r="I2" t="s">
        <v>68</v>
      </c>
      <c r="J2" s="8"/>
    </row>
    <row r="3" spans="1:10" ht="12.75">
      <c r="A3" t="s">
        <v>69</v>
      </c>
      <c r="B3" s="8"/>
      <c r="D3" s="10"/>
      <c r="E3" t="s">
        <v>69</v>
      </c>
      <c r="F3">
        <f>B2</f>
        <v>0</v>
      </c>
      <c r="H3" s="29">
        <f>D2</f>
        <v>0</v>
      </c>
      <c r="J3" s="16"/>
    </row>
    <row r="4" spans="1:8" ht="12.75">
      <c r="A4" t="s">
        <v>70</v>
      </c>
      <c r="B4">
        <f>B2-B3</f>
        <v>0</v>
      </c>
      <c r="D4" s="32">
        <f>D2-D3</f>
        <v>0</v>
      </c>
      <c r="E4" t="s">
        <v>70</v>
      </c>
      <c r="F4">
        <f>F2-F3</f>
        <v>0</v>
      </c>
      <c r="H4" s="32">
        <f>H2-H3</f>
        <v>0</v>
      </c>
    </row>
    <row r="5" spans="1:10" ht="12.75">
      <c r="A5" t="s">
        <v>71</v>
      </c>
      <c r="B5" s="13" t="e">
        <f>(B4)/(C13)*60</f>
        <v>#DIV/0!</v>
      </c>
      <c r="E5" t="s">
        <v>72</v>
      </c>
      <c r="F5" s="13" t="e">
        <f>(F4)/(D13)*60</f>
        <v>#DIV/0!</v>
      </c>
      <c r="G5" t="s">
        <v>73</v>
      </c>
      <c r="I5" t="s">
        <v>74</v>
      </c>
      <c r="J5" s="16"/>
    </row>
    <row r="6" spans="2:9" ht="12.75">
      <c r="B6" s="33"/>
      <c r="H6" s="21" t="e">
        <f>E27</f>
        <v>#DIV/0!</v>
      </c>
      <c r="I6" s="60" t="e">
        <f>G28</f>
        <v>#DIV/0!</v>
      </c>
    </row>
    <row r="7" spans="3:9" ht="12.75">
      <c r="C7" s="34"/>
      <c r="F7" s="16"/>
      <c r="I7" s="17"/>
    </row>
    <row r="8" spans="3:9" ht="12.75">
      <c r="C8" s="35"/>
      <c r="F8" s="16"/>
      <c r="G8" t="s">
        <v>204</v>
      </c>
      <c r="H8" s="36"/>
      <c r="I8" s="25"/>
    </row>
    <row r="9" spans="1:9" ht="12.75">
      <c r="A9" t="s">
        <v>75</v>
      </c>
      <c r="C9" s="3">
        <v>794</v>
      </c>
      <c r="D9" t="s">
        <v>76</v>
      </c>
      <c r="E9" s="13" t="e">
        <f>(E10*C9)/C10</f>
        <v>#DIV/0!</v>
      </c>
      <c r="F9" t="s">
        <v>77</v>
      </c>
      <c r="H9" s="37">
        <f>H4</f>
        <v>0</v>
      </c>
      <c r="I9" s="17"/>
    </row>
    <row r="10" spans="1:9" ht="12.75">
      <c r="A10" t="s">
        <v>78</v>
      </c>
      <c r="C10" s="13" t="e">
        <f>(F5-J2)-(B5-J2)+2*J2</f>
        <v>#DIV/0!</v>
      </c>
      <c r="E10" s="2">
        <v>60</v>
      </c>
      <c r="H10" s="16"/>
      <c r="I10" s="25"/>
    </row>
    <row r="11" spans="2:9" ht="12.75">
      <c r="B11" s="38"/>
      <c r="H11" s="17"/>
      <c r="I11" s="17"/>
    </row>
    <row r="12" spans="2:4" ht="12.75" hidden="1">
      <c r="B12" s="38" t="s">
        <v>79</v>
      </c>
      <c r="C12" t="s">
        <v>80</v>
      </c>
      <c r="D12" t="s">
        <v>81</v>
      </c>
    </row>
    <row r="13" spans="1:4" ht="12.75" hidden="1">
      <c r="A13" t="s">
        <v>52</v>
      </c>
      <c r="B13" s="39">
        <f>HOUR(D2)*60+MINUTE(D2)</f>
        <v>0</v>
      </c>
      <c r="C13" s="39">
        <f>HOUR(D4)*60+MINUTE(D4)</f>
        <v>0</v>
      </c>
      <c r="D13" s="22">
        <f>HOUR(H4)*60+MINUTE(H4)</f>
        <v>0</v>
      </c>
    </row>
    <row r="14" spans="2:8" ht="12.75">
      <c r="B14" s="40"/>
      <c r="H14" s="25"/>
    </row>
    <row r="15" spans="3:8" ht="12.75">
      <c r="C15" s="38"/>
      <c r="H15" s="17"/>
    </row>
    <row r="16" spans="3:9" ht="12.75">
      <c r="C16" s="33"/>
      <c r="G16" s="32"/>
      <c r="H16" s="25"/>
      <c r="I16" s="25"/>
    </row>
    <row r="17" spans="7:8" ht="12.75">
      <c r="G17" s="32"/>
      <c r="H17" s="17"/>
    </row>
    <row r="18" spans="8:9" ht="12.75">
      <c r="H18" s="25"/>
      <c r="I18" s="25"/>
    </row>
    <row r="19" ht="12.75">
      <c r="H19" s="33"/>
    </row>
    <row r="20" spans="4:8" ht="12.75">
      <c r="D20" s="38"/>
      <c r="H20" s="25"/>
    </row>
    <row r="21" ht="12.75">
      <c r="H21" s="33"/>
    </row>
    <row r="24" spans="2:7" ht="12.75" hidden="1">
      <c r="B24" t="s">
        <v>79</v>
      </c>
      <c r="C24" t="s">
        <v>82</v>
      </c>
      <c r="D24" t="s">
        <v>83</v>
      </c>
      <c r="E24" t="s">
        <v>84</v>
      </c>
      <c r="F24" t="s">
        <v>85</v>
      </c>
      <c r="G24" t="s">
        <v>85</v>
      </c>
    </row>
    <row r="25" spans="2:7" ht="12.75" hidden="1">
      <c r="B25" s="16">
        <f>HOUR(D2)*60+MINUTE(D2)</f>
        <v>0</v>
      </c>
      <c r="C25" s="16">
        <f>HOUR(D4)*60+MINUTE(D4)</f>
        <v>0</v>
      </c>
      <c r="D25" s="22">
        <f>HOUR(H4)*60+MINUTE(H4)</f>
        <v>0</v>
      </c>
      <c r="E25" s="16" t="e">
        <f>(J2)-(C27)+(J2)</f>
        <v>#DIV/0!</v>
      </c>
      <c r="F25" t="e">
        <f>60*H6</f>
        <v>#DIV/0!</v>
      </c>
      <c r="G25" s="16">
        <f>HOUR(H2)*60+MINUTE(H2)</f>
        <v>0</v>
      </c>
    </row>
    <row r="26" spans="2:7" ht="12.75" hidden="1">
      <c r="B26" t="e">
        <f>B2/B25</f>
        <v>#DIV/0!</v>
      </c>
      <c r="C26" s="22" t="e">
        <f>B4/C25</f>
        <v>#DIV/0!</v>
      </c>
      <c r="D26" t="e">
        <f>F4/D25</f>
        <v>#DIV/0!</v>
      </c>
      <c r="E26" t="e">
        <f>(E25*C9)</f>
        <v>#DIV/0!</v>
      </c>
      <c r="F26" t="e">
        <f>F25/B27</f>
        <v>#DIV/0!</v>
      </c>
      <c r="G26" s="16" t="e">
        <f>G25-E9</f>
        <v>#DIV/0!</v>
      </c>
    </row>
    <row r="27" spans="2:7" ht="12.75" hidden="1">
      <c r="B27" s="16" t="e">
        <f>B26*60</f>
        <v>#DIV/0!</v>
      </c>
      <c r="C27" s="16" t="e">
        <f>C26*60</f>
        <v>#DIV/0!</v>
      </c>
      <c r="D27" s="16" t="e">
        <f>D26*60</f>
        <v>#DIV/0!</v>
      </c>
      <c r="E27" s="23" t="e">
        <f>(E26)/(E25+D27)</f>
        <v>#DIV/0!</v>
      </c>
      <c r="F27" t="e">
        <f>F26/60</f>
        <v>#DIV/0!</v>
      </c>
      <c r="G27" t="e">
        <f>G26/60</f>
        <v>#DIV/0!</v>
      </c>
    </row>
    <row r="28" spans="6:7" ht="12.75" hidden="1">
      <c r="F28" t="e">
        <f>INT(F27)</f>
        <v>#DIV/0!</v>
      </c>
      <c r="G28" s="61" t="e">
        <f>TEXT(G27/24,"h:mm")</f>
        <v>#DIV/0!</v>
      </c>
    </row>
    <row r="29" ht="12.75" hidden="1">
      <c r="F29" t="e">
        <f>F27-F28</f>
        <v>#DIV/0!</v>
      </c>
    </row>
    <row r="30" ht="12.75" hidden="1">
      <c r="F30" s="16" t="e">
        <f>F29*60</f>
        <v>#DIV/0!</v>
      </c>
    </row>
    <row r="31" ht="12.75" hidden="1"/>
  </sheetData>
  <sheetProtection sheet="1" objects="1" scenarios="1"/>
  <protectedRanges>
    <protectedRange sqref="H2" name="Range16_1"/>
    <protectedRange sqref="C9" name="Range15_1"/>
    <protectedRange sqref="D1" name="Range13_1"/>
    <protectedRange sqref="C8" name="Range11_1"/>
    <protectedRange sqref="F2" name="Range7_1"/>
    <protectedRange sqref="B14" name="Range5_1"/>
    <protectedRange sqref="B12" name="Range4_1"/>
    <protectedRange sqref="B5:B6" name="Range2_1"/>
    <protectedRange sqref="B2:B3" name="Range1_1"/>
    <protectedRange sqref="D2:D3" name="Range6_1"/>
    <protectedRange sqref="F5" name="Range8_1"/>
    <protectedRange sqref="J2" name="Range10_1"/>
    <protectedRange sqref="B1" name="Range12_1"/>
    <protectedRange sqref="F1" name="Range14_1"/>
  </protectedRanges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A1" sqref="A1"/>
    </sheetView>
  </sheetViews>
  <sheetFormatPr defaultColWidth="9.140625" defaultRowHeight="12.75"/>
  <sheetData>
    <row r="1" spans="1:9" ht="12.75">
      <c r="A1" t="s">
        <v>86</v>
      </c>
      <c r="B1" s="10"/>
      <c r="C1" s="10"/>
      <c r="D1" s="10"/>
      <c r="E1" s="10"/>
      <c r="F1" s="10"/>
      <c r="G1" s="8"/>
      <c r="H1" s="8"/>
      <c r="I1" s="8"/>
    </row>
    <row r="2" spans="1:9" ht="12.75">
      <c r="A2" t="s">
        <v>10</v>
      </c>
      <c r="B2" s="10"/>
      <c r="C2" s="10"/>
      <c r="D2" s="10"/>
      <c r="E2" s="10"/>
      <c r="F2" s="10"/>
      <c r="G2" s="8"/>
      <c r="H2" s="8"/>
      <c r="I2" s="8"/>
    </row>
    <row r="3" spans="1:9" ht="12.75">
      <c r="A3" t="s">
        <v>87</v>
      </c>
      <c r="B3" s="8"/>
      <c r="C3" s="8"/>
      <c r="D3" s="8"/>
      <c r="E3" s="8"/>
      <c r="F3" s="8"/>
      <c r="G3" s="8"/>
      <c r="H3" s="8"/>
      <c r="I3" s="8"/>
    </row>
    <row r="4" spans="1:9" ht="12.75">
      <c r="A4" t="s">
        <v>29</v>
      </c>
      <c r="B4" s="8"/>
      <c r="C4" s="21">
        <f>B4</f>
        <v>0</v>
      </c>
      <c r="D4" s="21">
        <f>B4</f>
        <v>0</v>
      </c>
      <c r="E4" s="21">
        <f>C4</f>
        <v>0</v>
      </c>
      <c r="F4" s="21">
        <f>D4</f>
        <v>0</v>
      </c>
      <c r="G4" s="2">
        <f>B4</f>
        <v>0</v>
      </c>
      <c r="H4" s="2">
        <f>B4</f>
        <v>0</v>
      </c>
      <c r="I4" s="2">
        <f>B4</f>
        <v>0</v>
      </c>
    </row>
    <row r="5" spans="1:9" ht="12.75">
      <c r="A5" t="s">
        <v>88</v>
      </c>
      <c r="B5" s="8"/>
      <c r="C5" s="8"/>
      <c r="D5" s="8"/>
      <c r="E5" s="8"/>
      <c r="F5" s="8"/>
      <c r="G5" s="8"/>
      <c r="H5" s="8"/>
      <c r="I5" s="8"/>
    </row>
    <row r="6" spans="1:9" ht="12.75">
      <c r="A6" t="s">
        <v>89</v>
      </c>
      <c r="B6" s="9"/>
      <c r="C6" s="2">
        <f>B6</f>
        <v>0</v>
      </c>
      <c r="D6" s="2">
        <f>B6</f>
        <v>0</v>
      </c>
      <c r="E6" s="2">
        <f>B6</f>
        <v>0</v>
      </c>
      <c r="F6" s="2">
        <f>B6</f>
        <v>0</v>
      </c>
      <c r="G6" s="2">
        <f>B6</f>
        <v>0</v>
      </c>
      <c r="H6" s="2">
        <f>B6</f>
        <v>0</v>
      </c>
      <c r="I6" s="2">
        <f>B6</f>
        <v>0</v>
      </c>
    </row>
    <row r="7" spans="1:9" ht="12.75">
      <c r="A7" t="s">
        <v>90</v>
      </c>
      <c r="B7" s="2">
        <f aca="true" t="shared" si="0" ref="B7:I7">B5-B6</f>
        <v>0</v>
      </c>
      <c r="C7" s="2">
        <f t="shared" si="0"/>
        <v>0</v>
      </c>
      <c r="D7" s="2">
        <f t="shared" si="0"/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t="shared" si="0"/>
        <v>0</v>
      </c>
    </row>
    <row r="8" spans="1:15" ht="12.75">
      <c r="A8" t="s">
        <v>91</v>
      </c>
      <c r="B8" s="63" t="e">
        <f aca="true" t="shared" si="1" ref="B8:I8">B16</f>
        <v>#DIV/0!</v>
      </c>
      <c r="C8" s="63" t="e">
        <f t="shared" si="1"/>
        <v>#DIV/0!</v>
      </c>
      <c r="D8" s="63" t="e">
        <f t="shared" si="1"/>
        <v>#DIV/0!</v>
      </c>
      <c r="E8" s="64" t="e">
        <f t="shared" si="1"/>
        <v>#DIV/0!</v>
      </c>
      <c r="F8" s="64" t="e">
        <f t="shared" si="1"/>
        <v>#DIV/0!</v>
      </c>
      <c r="G8" s="64" t="e">
        <f t="shared" si="1"/>
        <v>#DIV/0!</v>
      </c>
      <c r="H8" s="64" t="e">
        <f t="shared" si="1"/>
        <v>#DIV/0!</v>
      </c>
      <c r="I8" s="64" t="e">
        <f t="shared" si="1"/>
        <v>#DIV/0!</v>
      </c>
      <c r="O8" s="14"/>
    </row>
    <row r="9" spans="1:14" ht="12.75">
      <c r="A9" t="s">
        <v>92</v>
      </c>
      <c r="B9" s="4">
        <f>B1-B2</f>
        <v>0</v>
      </c>
      <c r="C9" s="4">
        <f>C1-C2</f>
        <v>0</v>
      </c>
      <c r="D9" s="4">
        <f>D1-D2</f>
        <v>0</v>
      </c>
      <c r="E9" s="4">
        <f>E1-E2</f>
        <v>0</v>
      </c>
      <c r="F9" s="4">
        <f>F1-F2</f>
        <v>0</v>
      </c>
      <c r="G9" s="2"/>
      <c r="H9" s="2"/>
      <c r="I9" s="2"/>
      <c r="N9" s="41"/>
    </row>
    <row r="10" spans="1:9" ht="12.75">
      <c r="A10" t="s">
        <v>93</v>
      </c>
      <c r="B10" s="65" t="e">
        <f aca="true" t="shared" si="2" ref="B10:I10">B8-B9</f>
        <v>#DIV/0!</v>
      </c>
      <c r="C10" s="65" t="e">
        <f t="shared" si="2"/>
        <v>#DIV/0!</v>
      </c>
      <c r="D10" s="65" t="e">
        <f t="shared" si="2"/>
        <v>#DIV/0!</v>
      </c>
      <c r="E10" s="65" t="e">
        <f t="shared" si="2"/>
        <v>#DIV/0!</v>
      </c>
      <c r="F10" s="65" t="e">
        <f t="shared" si="2"/>
        <v>#DIV/0!</v>
      </c>
      <c r="G10" s="65" t="e">
        <f t="shared" si="2"/>
        <v>#DIV/0!</v>
      </c>
      <c r="H10" s="65" t="e">
        <f t="shared" si="2"/>
        <v>#DIV/0!</v>
      </c>
      <c r="I10" s="65" t="e">
        <f t="shared" si="2"/>
        <v>#DIV/0!</v>
      </c>
    </row>
    <row r="11" spans="1:9" ht="12.75">
      <c r="A11" t="s">
        <v>94</v>
      </c>
      <c r="B11" s="2">
        <f aca="true" t="shared" si="3" ref="B11:I11">(B3+B4)/2</f>
        <v>0</v>
      </c>
      <c r="C11" s="2">
        <f t="shared" si="3"/>
        <v>0</v>
      </c>
      <c r="D11" s="2">
        <f t="shared" si="3"/>
        <v>0</v>
      </c>
      <c r="E11" s="2">
        <f t="shared" si="3"/>
        <v>0</v>
      </c>
      <c r="F11" s="2">
        <f t="shared" si="3"/>
        <v>0</v>
      </c>
      <c r="G11" s="2">
        <f t="shared" si="3"/>
        <v>0</v>
      </c>
      <c r="H11" s="2">
        <f t="shared" si="3"/>
        <v>0</v>
      </c>
      <c r="I11" s="2">
        <f t="shared" si="3"/>
        <v>0</v>
      </c>
    </row>
    <row r="13" ht="12.75">
      <c r="B13" s="14"/>
    </row>
    <row r="14" ht="12.75" hidden="1"/>
    <row r="15" spans="2:9" ht="12.75" hidden="1">
      <c r="B15" t="e">
        <f>B7/B11</f>
        <v>#DIV/0!</v>
      </c>
      <c r="C15" t="e">
        <f aca="true" t="shared" si="4" ref="C15:I15">C7/C11</f>
        <v>#DIV/0!</v>
      </c>
      <c r="D15" t="e">
        <f t="shared" si="4"/>
        <v>#DIV/0!</v>
      </c>
      <c r="E15" t="e">
        <f t="shared" si="4"/>
        <v>#DIV/0!</v>
      </c>
      <c r="F15" t="e">
        <f t="shared" si="4"/>
        <v>#DIV/0!</v>
      </c>
      <c r="G15" t="e">
        <f t="shared" si="4"/>
        <v>#DIV/0!</v>
      </c>
      <c r="H15" t="e">
        <f t="shared" si="4"/>
        <v>#DIV/0!</v>
      </c>
      <c r="I15" t="e">
        <f t="shared" si="4"/>
        <v>#DIV/0!</v>
      </c>
    </row>
    <row r="16" spans="2:9" ht="12.75" hidden="1">
      <c r="B16" s="62" t="e">
        <f>TEXT(B15/24,"h:mm")</f>
        <v>#DIV/0!</v>
      </c>
      <c r="C16" s="62" t="e">
        <f aca="true" t="shared" si="5" ref="C16:I16">TEXT(C15/24,"h:mm")</f>
        <v>#DIV/0!</v>
      </c>
      <c r="D16" s="62" t="e">
        <f t="shared" si="5"/>
        <v>#DIV/0!</v>
      </c>
      <c r="E16" s="62" t="e">
        <f t="shared" si="5"/>
        <v>#DIV/0!</v>
      </c>
      <c r="F16" s="62" t="e">
        <f t="shared" si="5"/>
        <v>#DIV/0!</v>
      </c>
      <c r="G16" s="62" t="e">
        <f t="shared" si="5"/>
        <v>#DIV/0!</v>
      </c>
      <c r="H16" s="62" t="e">
        <f t="shared" si="5"/>
        <v>#DIV/0!</v>
      </c>
      <c r="I16" s="62" t="e">
        <f t="shared" si="5"/>
        <v>#DIV/0!</v>
      </c>
    </row>
    <row r="17" spans="2:9" ht="12.75" hidden="1">
      <c r="B17" s="22" t="e">
        <f aca="true" t="shared" si="6" ref="B17:I17">B16/60</f>
        <v>#DIV/0!</v>
      </c>
      <c r="C17" s="22" t="e">
        <f t="shared" si="6"/>
        <v>#DIV/0!</v>
      </c>
      <c r="D17" s="22" t="e">
        <f t="shared" si="6"/>
        <v>#DIV/0!</v>
      </c>
      <c r="E17" s="22" t="e">
        <f t="shared" si="6"/>
        <v>#DIV/0!</v>
      </c>
      <c r="F17" s="22" t="e">
        <f t="shared" si="6"/>
        <v>#DIV/0!</v>
      </c>
      <c r="G17" s="22" t="e">
        <f t="shared" si="6"/>
        <v>#DIV/0!</v>
      </c>
      <c r="H17" s="22" t="e">
        <f t="shared" si="6"/>
        <v>#DIV/0!</v>
      </c>
      <c r="I17" s="22" t="e">
        <f t="shared" si="6"/>
        <v>#DIV/0!</v>
      </c>
    </row>
    <row r="18" spans="2:9" ht="12.75" hidden="1">
      <c r="B18" s="42"/>
      <c r="C18" s="42"/>
      <c r="D18" s="42"/>
      <c r="E18" s="42"/>
      <c r="F18" s="42"/>
      <c r="G18" s="42"/>
      <c r="H18" s="42"/>
      <c r="I18" s="42"/>
    </row>
    <row r="19" ht="12.75" hidden="1"/>
    <row r="20" spans="2:9" ht="12.75" hidden="1">
      <c r="B20" s="43"/>
      <c r="C20" s="43"/>
      <c r="D20" s="43"/>
      <c r="E20" s="43"/>
      <c r="F20" s="43"/>
      <c r="G20" s="43"/>
      <c r="H20" s="43"/>
      <c r="I20" s="43"/>
    </row>
    <row r="21" ht="12.75" hidden="1"/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1">
      <selection activeCell="A1" sqref="A1"/>
    </sheetView>
  </sheetViews>
  <sheetFormatPr defaultColWidth="9.140625" defaultRowHeight="12.75"/>
  <cols>
    <col min="4" max="7" width="0" style="0" hidden="1" customWidth="1"/>
  </cols>
  <sheetData>
    <row r="1" spans="1:13" ht="12.75">
      <c r="A1" t="s">
        <v>10</v>
      </c>
      <c r="B1" s="10"/>
      <c r="C1" s="52" t="s">
        <v>149</v>
      </c>
      <c r="E1" s="3" t="s">
        <v>26</v>
      </c>
      <c r="F1" s="3"/>
      <c r="G1" s="3"/>
      <c r="H1" s="3" t="s">
        <v>150</v>
      </c>
      <c r="I1" s="3"/>
      <c r="J1" s="3"/>
      <c r="K1" s="53"/>
      <c r="M1" s="1" t="s">
        <v>151</v>
      </c>
    </row>
    <row r="2" spans="1:14" ht="12.75">
      <c r="A2" t="s">
        <v>152</v>
      </c>
      <c r="B2" s="8"/>
      <c r="C2" s="52">
        <f>(B2)/1000*-2+15</f>
        <v>15</v>
      </c>
      <c r="H2" t="s">
        <v>153</v>
      </c>
      <c r="I2" s="8"/>
      <c r="J2" t="s">
        <v>154</v>
      </c>
      <c r="K2" t="s">
        <v>155</v>
      </c>
      <c r="L2" t="s">
        <v>156</v>
      </c>
      <c r="M2" t="s">
        <v>10</v>
      </c>
      <c r="N2" s="54"/>
    </row>
    <row r="3" spans="1:14" ht="12.75">
      <c r="A3" t="s">
        <v>157</v>
      </c>
      <c r="B3" s="8"/>
      <c r="E3" t="s">
        <v>158</v>
      </c>
      <c r="F3">
        <f>POWER((10),-3)</f>
        <v>0.001</v>
      </c>
      <c r="H3" t="s">
        <v>159</v>
      </c>
      <c r="I3">
        <f>B4+273.15</f>
        <v>273.15</v>
      </c>
      <c r="J3" s="53" t="s">
        <v>160</v>
      </c>
      <c r="K3" s="53">
        <v>-7</v>
      </c>
      <c r="L3" s="53">
        <f>B3+K3</f>
        <v>-7</v>
      </c>
      <c r="M3" t="s">
        <v>161</v>
      </c>
      <c r="N3" s="3"/>
    </row>
    <row r="4" spans="1:14" ht="12.75">
      <c r="A4" t="s">
        <v>162</v>
      </c>
      <c r="B4" s="55"/>
      <c r="F4">
        <f>3.566*F3</f>
        <v>0.0035659999999999997</v>
      </c>
      <c r="I4">
        <f>SQRT(I3)</f>
        <v>16.527250225007183</v>
      </c>
      <c r="J4" s="53" t="s">
        <v>163</v>
      </c>
      <c r="K4" s="53">
        <v>-8</v>
      </c>
      <c r="L4" s="53">
        <f>B3+K4</f>
        <v>-8</v>
      </c>
      <c r="M4" t="s">
        <v>164</v>
      </c>
      <c r="N4" s="3"/>
    </row>
    <row r="5" spans="1:14" ht="12.75">
      <c r="A5" t="s">
        <v>165</v>
      </c>
      <c r="B5" s="8"/>
      <c r="C5" s="13">
        <f>(D15)*661.5</f>
        <v>0</v>
      </c>
      <c r="F5">
        <f>F4*B2</f>
        <v>0</v>
      </c>
      <c r="I5">
        <f>39*(I4)</f>
        <v>644.5627587752801</v>
      </c>
      <c r="J5" s="53" t="s">
        <v>166</v>
      </c>
      <c r="K5" s="53">
        <v>-9</v>
      </c>
      <c r="L5" s="53">
        <f>B3+K5</f>
        <v>-9</v>
      </c>
      <c r="M5" t="s">
        <v>167</v>
      </c>
      <c r="N5" s="3"/>
    </row>
    <row r="6" spans="1:17" ht="12.75">
      <c r="A6" t="s">
        <v>168</v>
      </c>
      <c r="B6" s="2">
        <f>(B5)</f>
        <v>0</v>
      </c>
      <c r="C6" t="s">
        <v>169</v>
      </c>
      <c r="F6">
        <f>518.67-F5</f>
        <v>518.67</v>
      </c>
      <c r="I6" s="2">
        <f>(I2)/(I5)</f>
        <v>0</v>
      </c>
      <c r="J6" s="53" t="s">
        <v>170</v>
      </c>
      <c r="K6" s="53">
        <v>-10</v>
      </c>
      <c r="L6" s="53">
        <f>B3+K6</f>
        <v>-10</v>
      </c>
      <c r="M6" t="s">
        <v>171</v>
      </c>
      <c r="N6" s="3"/>
      <c r="Q6" s="14"/>
    </row>
    <row r="7" spans="1:14" ht="12.75">
      <c r="A7" t="s">
        <v>172</v>
      </c>
      <c r="B7" s="2">
        <f>(B6)-3</f>
        <v>-3</v>
      </c>
      <c r="C7" s="2">
        <f>B4-C2</f>
        <v>-15</v>
      </c>
      <c r="F7">
        <f>F6/518.67</f>
        <v>1</v>
      </c>
      <c r="J7" s="53" t="s">
        <v>173</v>
      </c>
      <c r="K7" s="53">
        <v>-11</v>
      </c>
      <c r="L7" s="53">
        <f>B3+K7</f>
        <v>-11</v>
      </c>
      <c r="M7" t="s">
        <v>174</v>
      </c>
      <c r="N7" s="2">
        <f>N5+N6</f>
        <v>0</v>
      </c>
    </row>
    <row r="8" spans="1:14" ht="12.75">
      <c r="A8" t="s">
        <v>13</v>
      </c>
      <c r="B8" s="13">
        <f>(G20)</f>
        <v>0</v>
      </c>
      <c r="F8">
        <f>POWER((F7),5.2563)</f>
        <v>1</v>
      </c>
      <c r="I8">
        <f>(B4)+273.15</f>
        <v>273.15</v>
      </c>
      <c r="M8" t="s">
        <v>175</v>
      </c>
      <c r="N8" s="2">
        <f>N9-N7</f>
        <v>0</v>
      </c>
    </row>
    <row r="9" spans="1:14" ht="12.75">
      <c r="A9" t="s">
        <v>176</v>
      </c>
      <c r="B9" s="8"/>
      <c r="E9" t="s">
        <v>177</v>
      </c>
      <c r="F9" s="2">
        <f>1/F8</f>
        <v>1</v>
      </c>
      <c r="I9">
        <f>SQRT(I8)</f>
        <v>16.527250225007183</v>
      </c>
      <c r="M9" t="s">
        <v>178</v>
      </c>
      <c r="N9" s="3"/>
    </row>
    <row r="10" spans="1:14" ht="12.75">
      <c r="A10" t="s">
        <v>179</v>
      </c>
      <c r="B10" s="13">
        <f>B8-B9</f>
        <v>0</v>
      </c>
      <c r="I10">
        <f>39*B25</f>
        <v>0</v>
      </c>
      <c r="M10" t="s">
        <v>175</v>
      </c>
      <c r="N10" s="2">
        <f>N11-N7</f>
        <v>0</v>
      </c>
    </row>
    <row r="11" spans="1:14" ht="12.75">
      <c r="A11" t="s">
        <v>180</v>
      </c>
      <c r="B11" s="8"/>
      <c r="E11">
        <f>(B2)/1000</f>
        <v>0</v>
      </c>
      <c r="H11" t="s">
        <v>181</v>
      </c>
      <c r="I11" s="2">
        <f>I9*I10</f>
        <v>0</v>
      </c>
      <c r="M11" t="s">
        <v>182</v>
      </c>
      <c r="N11" s="3"/>
    </row>
    <row r="12" spans="1:14" ht="12.75">
      <c r="A12" t="s">
        <v>179</v>
      </c>
      <c r="B12" s="13">
        <f>B8-B11</f>
        <v>0</v>
      </c>
      <c r="D12" t="s">
        <v>183</v>
      </c>
      <c r="E12" s="2">
        <f>(I2)-4*(E11)</f>
        <v>0</v>
      </c>
      <c r="M12" t="s">
        <v>175</v>
      </c>
      <c r="N12" s="2">
        <f>N13-N7</f>
        <v>0</v>
      </c>
    </row>
    <row r="13" spans="13:14" ht="12.75">
      <c r="M13" t="s">
        <v>184</v>
      </c>
      <c r="N13" s="56"/>
    </row>
    <row r="15" spans="1:4" ht="12.75" hidden="1">
      <c r="A15" t="s">
        <v>185</v>
      </c>
      <c r="B15">
        <f>B6/661.5</f>
        <v>0</v>
      </c>
      <c r="D15">
        <f>SQRT(D16)</f>
        <v>0</v>
      </c>
    </row>
    <row r="16" spans="2:4" ht="12.75" hidden="1">
      <c r="B16">
        <f>POWER((B15),2)</f>
        <v>0</v>
      </c>
      <c r="D16">
        <f>((D17)-1)/0.2</f>
        <v>0</v>
      </c>
    </row>
    <row r="17" spans="2:7" ht="12.75" hidden="1">
      <c r="B17">
        <f>1+0.2*B16</f>
        <v>1</v>
      </c>
      <c r="D17">
        <f>POWER((D18),0.285714286)</f>
        <v>1</v>
      </c>
      <c r="G17">
        <f>(B4)+273.15</f>
        <v>273.15</v>
      </c>
    </row>
    <row r="18" spans="2:7" ht="12.75" hidden="1">
      <c r="B18">
        <f>POWER((B17),3.5)</f>
        <v>1</v>
      </c>
      <c r="D18">
        <f>(D19)+1</f>
        <v>1</v>
      </c>
      <c r="G18">
        <f>SQRT(G17)</f>
        <v>16.527250225007183</v>
      </c>
    </row>
    <row r="19" spans="2:7" ht="12.75" hidden="1">
      <c r="B19">
        <f>B18-1</f>
        <v>0</v>
      </c>
      <c r="D19">
        <f>(D20)/(F9)</f>
        <v>0</v>
      </c>
      <c r="G19">
        <f>39*(B25)</f>
        <v>0</v>
      </c>
    </row>
    <row r="20" spans="2:10" ht="12.75" hidden="1">
      <c r="B20">
        <f>B19*F9</f>
        <v>0</v>
      </c>
      <c r="D20">
        <f>(D21)-1</f>
        <v>0</v>
      </c>
      <c r="F20" t="s">
        <v>181</v>
      </c>
      <c r="G20" s="2">
        <f>G18*G19</f>
        <v>0</v>
      </c>
      <c r="J20" s="33"/>
    </row>
    <row r="21" spans="2:4" ht="12.75" hidden="1">
      <c r="B21">
        <f>B20+1</f>
        <v>1</v>
      </c>
      <c r="D21">
        <f>POWER((D22),3.496503497)</f>
        <v>1</v>
      </c>
    </row>
    <row r="22" spans="2:4" ht="12.75" hidden="1">
      <c r="B22">
        <f>POWER((B21),0.286)</f>
        <v>1</v>
      </c>
      <c r="D22">
        <f>(D23)+1</f>
        <v>1</v>
      </c>
    </row>
    <row r="23" spans="2:4" ht="12.75" hidden="1">
      <c r="B23">
        <f>B22-1</f>
        <v>0</v>
      </c>
      <c r="D23">
        <f>(D24)/5</f>
        <v>0</v>
      </c>
    </row>
    <row r="24" spans="2:4" ht="12.75" hidden="1">
      <c r="B24">
        <f>B23*5</f>
        <v>0</v>
      </c>
      <c r="D24">
        <f>POWER((D25),2)</f>
        <v>0</v>
      </c>
    </row>
    <row r="25" spans="1:4" ht="12.75" hidden="1">
      <c r="A25" t="s">
        <v>186</v>
      </c>
      <c r="B25" s="2">
        <f>SQRT(B24)</f>
        <v>0</v>
      </c>
      <c r="D25" s="2">
        <f>I6</f>
        <v>0</v>
      </c>
    </row>
    <row r="26" spans="10:17" ht="12.75">
      <c r="J26" t="s">
        <v>174</v>
      </c>
      <c r="K26" t="s">
        <v>175</v>
      </c>
      <c r="L26" t="s">
        <v>187</v>
      </c>
      <c r="Q26" s="14"/>
    </row>
    <row r="27" spans="9:12" ht="12.75">
      <c r="I27" t="s">
        <v>178</v>
      </c>
      <c r="J27" s="8"/>
      <c r="K27" s="2">
        <f>L27-J27</f>
        <v>0</v>
      </c>
      <c r="L27" s="8"/>
    </row>
    <row r="28" spans="9:12" ht="12.75">
      <c r="I28" t="s">
        <v>182</v>
      </c>
      <c r="J28" s="57">
        <f>J27</f>
        <v>0</v>
      </c>
      <c r="K28" s="2">
        <f>L28-J28</f>
        <v>0</v>
      </c>
      <c r="L28" s="8"/>
    </row>
    <row r="29" spans="9:12" ht="12.75">
      <c r="I29" t="s">
        <v>188</v>
      </c>
      <c r="J29" s="57">
        <f>J27</f>
        <v>0</v>
      </c>
      <c r="K29" s="2">
        <f>L29-J29</f>
        <v>0</v>
      </c>
      <c r="L29" s="8"/>
    </row>
  </sheetData>
  <sheetProtection sheet="1" objects="1" scenarios="1"/>
  <protectedRanges>
    <protectedRange sqref="N13" name="Range8"/>
    <protectedRange sqref="N9" name="Range6"/>
    <protectedRange sqref="B11" name="Range4"/>
    <protectedRange sqref="I2" name="Range2"/>
    <protectedRange sqref="B1:B5" name="Range1"/>
    <protectedRange sqref="B9" name="Range3"/>
    <protectedRange sqref="N2:N6" name="Range5"/>
    <protectedRange sqref="N11" name="Range7"/>
  </protectedRange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1" sqref="A1"/>
    </sheetView>
  </sheetViews>
  <sheetFormatPr defaultColWidth="9.140625" defaultRowHeight="12.75"/>
  <sheetData>
    <row r="1" spans="1:6" ht="12.75">
      <c r="A1" s="44" t="s">
        <v>26</v>
      </c>
      <c r="B1" s="44"/>
      <c r="C1" s="44"/>
      <c r="F1" s="45" t="s">
        <v>95</v>
      </c>
    </row>
    <row r="2" spans="1:12" ht="12.75">
      <c r="A2" s="38" t="s">
        <v>96</v>
      </c>
      <c r="B2" s="16" t="s">
        <v>97</v>
      </c>
      <c r="C2" s="16" t="s">
        <v>98</v>
      </c>
      <c r="D2" s="16"/>
      <c r="E2" s="16"/>
      <c r="F2" s="46" t="s">
        <v>99</v>
      </c>
      <c r="G2" s="11"/>
      <c r="H2" s="46" t="s">
        <v>100</v>
      </c>
      <c r="I2" s="11"/>
      <c r="J2" s="16"/>
      <c r="K2" s="16"/>
      <c r="L2" s="16"/>
    </row>
    <row r="3" spans="1:12" ht="12.75">
      <c r="A3">
        <f>PI()</f>
        <v>3.141592653589793</v>
      </c>
      <c r="B3" s="23">
        <f>180/A3</f>
        <v>57.29577951308232</v>
      </c>
      <c r="C3" s="11"/>
      <c r="D3" s="16"/>
      <c r="E3" s="16" t="s">
        <v>101</v>
      </c>
      <c r="F3" s="16"/>
      <c r="G3" s="21">
        <f>B23</f>
        <v>0</v>
      </c>
      <c r="H3" s="16" t="s">
        <v>102</v>
      </c>
      <c r="I3" s="16"/>
      <c r="J3" s="16"/>
      <c r="K3" s="16"/>
      <c r="L3" s="16"/>
    </row>
    <row r="4" spans="1:12" ht="12.75">
      <c r="A4" t="s">
        <v>103</v>
      </c>
      <c r="B4" s="16" t="s">
        <v>104</v>
      </c>
      <c r="C4" s="16" t="s">
        <v>105</v>
      </c>
      <c r="D4" s="16"/>
      <c r="E4" s="16"/>
      <c r="F4" s="16"/>
      <c r="G4" s="16"/>
      <c r="H4" s="16"/>
      <c r="I4" s="16"/>
      <c r="J4" s="16"/>
      <c r="K4" s="16"/>
      <c r="L4" s="16"/>
    </row>
    <row r="5" spans="1:12" ht="12.75">
      <c r="A5" s="23">
        <v>1.9990945835544243</v>
      </c>
      <c r="B5" s="16">
        <v>212</v>
      </c>
      <c r="C5" s="16">
        <f>B5/60*C3</f>
        <v>0</v>
      </c>
      <c r="D5" s="16"/>
      <c r="E5" s="47"/>
      <c r="F5" s="19" t="s">
        <v>106</v>
      </c>
      <c r="G5" s="19">
        <f>B21+500</f>
        <v>500</v>
      </c>
      <c r="H5" s="19" t="s">
        <v>107</v>
      </c>
      <c r="I5" s="16"/>
      <c r="J5" s="16"/>
      <c r="K5" s="16"/>
      <c r="L5" s="16"/>
    </row>
    <row r="6" spans="1:12" ht="12.75">
      <c r="A6" s="23">
        <v>2.4988682294430307</v>
      </c>
      <c r="B6" s="16">
        <v>265</v>
      </c>
      <c r="C6" s="16">
        <f>B6/60*C3</f>
        <v>0</v>
      </c>
      <c r="D6" s="16"/>
      <c r="E6" s="16"/>
      <c r="F6" s="16"/>
      <c r="G6" s="16"/>
      <c r="H6" s="16"/>
      <c r="I6" s="16"/>
      <c r="J6" s="16"/>
      <c r="K6" s="16"/>
      <c r="L6" s="13">
        <f>K7+B24</f>
        <v>0</v>
      </c>
    </row>
    <row r="7" spans="1:12" ht="12.75">
      <c r="A7" s="25">
        <v>2.828907429558148</v>
      </c>
      <c r="B7" s="16">
        <v>300</v>
      </c>
      <c r="C7" s="16">
        <f>B7/60*C3</f>
        <v>0</v>
      </c>
      <c r="D7" s="16"/>
      <c r="E7" s="16"/>
      <c r="F7" s="19" t="s">
        <v>106</v>
      </c>
      <c r="G7" s="19">
        <f>B21+300</f>
        <v>300</v>
      </c>
      <c r="H7" s="19" t="s">
        <v>108</v>
      </c>
      <c r="I7" s="16"/>
      <c r="J7" s="16"/>
      <c r="K7" s="13">
        <f>J8+B24</f>
        <v>0</v>
      </c>
      <c r="L7" s="16" t="s">
        <v>109</v>
      </c>
    </row>
    <row r="8" spans="1:12" ht="12.75">
      <c r="A8" s="23">
        <v>2.998641875331636</v>
      </c>
      <c r="B8" s="16">
        <v>318</v>
      </c>
      <c r="C8" s="16">
        <f>B8/60*C3</f>
        <v>0</v>
      </c>
      <c r="D8" s="16"/>
      <c r="E8" s="16"/>
      <c r="F8" s="16"/>
      <c r="G8" s="16"/>
      <c r="H8" s="16"/>
      <c r="I8" s="16"/>
      <c r="J8" s="13">
        <f>I9+B24</f>
        <v>0</v>
      </c>
      <c r="K8" s="16" t="s">
        <v>110</v>
      </c>
      <c r="L8" s="16"/>
    </row>
    <row r="9" spans="1:12" ht="12.75">
      <c r="A9" s="23">
        <v>3.4984155212202426</v>
      </c>
      <c r="B9" s="16">
        <v>371</v>
      </c>
      <c r="C9" s="16">
        <f>B9/60*C3</f>
        <v>0</v>
      </c>
      <c r="D9" s="16"/>
      <c r="E9" s="16"/>
      <c r="F9" s="16"/>
      <c r="G9" s="16"/>
      <c r="H9" s="16"/>
      <c r="I9" s="13">
        <f>H10+B24</f>
        <v>0</v>
      </c>
      <c r="J9" s="16" t="s">
        <v>111</v>
      </c>
      <c r="K9" s="16"/>
      <c r="L9" s="16"/>
    </row>
    <row r="10" spans="1:12" ht="12.75">
      <c r="A10" s="25">
        <v>3.771876572744197</v>
      </c>
      <c r="B10" s="16">
        <v>400</v>
      </c>
      <c r="C10" s="16">
        <f>B10/60*C3</f>
        <v>0</v>
      </c>
      <c r="D10" s="16" t="s">
        <v>112</v>
      </c>
      <c r="E10" s="16"/>
      <c r="F10" s="16"/>
      <c r="G10" s="16"/>
      <c r="H10" s="13">
        <f>G11+B24</f>
        <v>0</v>
      </c>
      <c r="I10" s="16" t="s">
        <v>113</v>
      </c>
      <c r="J10" s="16"/>
      <c r="K10" s="16"/>
      <c r="L10" s="16"/>
    </row>
    <row r="11" spans="2:14" ht="12.75">
      <c r="B11" s="16"/>
      <c r="C11" s="16"/>
      <c r="D11" s="16"/>
      <c r="E11" s="16"/>
      <c r="F11" s="16"/>
      <c r="G11" s="13">
        <f>F12+B24</f>
        <v>0</v>
      </c>
      <c r="H11" s="16" t="s">
        <v>114</v>
      </c>
      <c r="I11" s="16"/>
      <c r="J11" s="16"/>
      <c r="K11" s="16"/>
      <c r="L11" s="16"/>
      <c r="N11" s="38"/>
    </row>
    <row r="12" spans="2:12" ht="12.75">
      <c r="B12" s="16"/>
      <c r="C12" s="16"/>
      <c r="D12" s="16"/>
      <c r="E12" s="16"/>
      <c r="F12" s="13">
        <f>E13+B24</f>
        <v>0</v>
      </c>
      <c r="G12" s="16" t="s">
        <v>115</v>
      </c>
      <c r="H12" s="16"/>
      <c r="I12" s="16"/>
      <c r="J12" s="16"/>
      <c r="K12" s="16"/>
      <c r="L12" s="16"/>
    </row>
    <row r="13" spans="2:12" ht="12.75">
      <c r="B13" s="16"/>
      <c r="C13" s="16"/>
      <c r="D13" s="16"/>
      <c r="E13" s="13">
        <f>D14+B24</f>
        <v>0</v>
      </c>
      <c r="F13" s="16" t="s">
        <v>116</v>
      </c>
      <c r="G13" s="16"/>
      <c r="H13" s="16"/>
      <c r="I13" s="16"/>
      <c r="J13" s="16"/>
      <c r="K13" s="16"/>
      <c r="L13" s="16"/>
    </row>
    <row r="14" spans="2:12" ht="12.75">
      <c r="B14" s="16"/>
      <c r="C14" s="16"/>
      <c r="D14" s="13">
        <f>C15+B24</f>
        <v>0</v>
      </c>
      <c r="E14" s="16" t="s">
        <v>117</v>
      </c>
      <c r="F14" s="16"/>
      <c r="G14" s="16"/>
      <c r="H14" s="16"/>
      <c r="I14" s="16"/>
      <c r="J14" s="16"/>
      <c r="K14" s="16"/>
      <c r="L14" s="16"/>
    </row>
    <row r="15" spans="2:12" ht="12.75">
      <c r="B15" s="16" t="s">
        <v>118</v>
      </c>
      <c r="C15" s="13">
        <f>B21+B24</f>
        <v>0</v>
      </c>
      <c r="D15" s="16" t="s">
        <v>119</v>
      </c>
      <c r="E15" s="16"/>
      <c r="F15" s="16"/>
      <c r="H15" s="48">
        <f>I22</f>
        <v>0</v>
      </c>
      <c r="I15" s="16" t="s">
        <v>120</v>
      </c>
      <c r="J15" s="49">
        <f>K23</f>
        <v>0</v>
      </c>
      <c r="K15" s="16"/>
      <c r="L15" s="16"/>
    </row>
    <row r="16" spans="2:12" ht="12.75">
      <c r="B16" s="13">
        <f>B21+B24*0.1</f>
        <v>0</v>
      </c>
      <c r="C16" s="16" t="s">
        <v>121</v>
      </c>
      <c r="D16" s="16"/>
      <c r="E16" s="16"/>
      <c r="F16" s="16"/>
      <c r="G16" s="16"/>
      <c r="H16" s="16"/>
      <c r="I16" s="16"/>
      <c r="J16" s="16"/>
      <c r="K16" s="16"/>
      <c r="L16" s="16"/>
    </row>
    <row r="17" spans="2:13" ht="12.75">
      <c r="B17" t="s">
        <v>122</v>
      </c>
      <c r="L17" s="6" t="s">
        <v>123</v>
      </c>
      <c r="M17" s="3"/>
    </row>
    <row r="18" spans="1:14" ht="12.75">
      <c r="A18" s="6" t="s">
        <v>124</v>
      </c>
      <c r="B18" s="3"/>
      <c r="D18" s="6" t="s">
        <v>125</v>
      </c>
      <c r="E18" s="3"/>
      <c r="F18" s="3"/>
      <c r="H18" s="6" t="s">
        <v>126</v>
      </c>
      <c r="I18" s="3"/>
      <c r="J18" s="3"/>
      <c r="K18" s="3"/>
      <c r="L18" s="6" t="s">
        <v>127</v>
      </c>
      <c r="M18" s="3"/>
      <c r="N18" s="38"/>
    </row>
    <row r="20" spans="4:13" ht="12.75">
      <c r="D20" t="s">
        <v>128</v>
      </c>
      <c r="E20" s="8"/>
      <c r="F20" s="8"/>
      <c r="H20" t="s">
        <v>129</v>
      </c>
      <c r="I20" s="8"/>
      <c r="K20" s="38"/>
      <c r="L20" s="38" t="s">
        <v>130</v>
      </c>
      <c r="M20" s="50"/>
    </row>
    <row r="21" spans="1:13" ht="12.75">
      <c r="A21" t="s">
        <v>131</v>
      </c>
      <c r="B21" s="8"/>
      <c r="D21" t="s">
        <v>131</v>
      </c>
      <c r="E21" s="8"/>
      <c r="F21" s="8"/>
      <c r="H21" t="s">
        <v>132</v>
      </c>
      <c r="I21" s="8"/>
      <c r="J21" s="66" t="s">
        <v>133</v>
      </c>
      <c r="K21" s="66"/>
      <c r="L21" t="s">
        <v>131</v>
      </c>
      <c r="M21" s="8"/>
    </row>
    <row r="22" spans="2:13" ht="12.75">
      <c r="B22" s="38"/>
      <c r="D22" t="s">
        <v>134</v>
      </c>
      <c r="E22">
        <f>E20-E21</f>
        <v>0</v>
      </c>
      <c r="F22">
        <f>F20-F21</f>
        <v>0</v>
      </c>
      <c r="H22" t="s">
        <v>135</v>
      </c>
      <c r="I22" s="18">
        <f>I20+I21</f>
        <v>0</v>
      </c>
      <c r="K22" s="1" t="s">
        <v>136</v>
      </c>
      <c r="L22" t="s">
        <v>137</v>
      </c>
      <c r="M22" s="23">
        <f>M20/57.29577951*6076.10333</f>
        <v>0</v>
      </c>
    </row>
    <row r="23" spans="1:13" ht="12.75">
      <c r="A23" t="s">
        <v>138</v>
      </c>
      <c r="B23" s="9"/>
      <c r="D23" t="s">
        <v>138</v>
      </c>
      <c r="E23" s="8"/>
      <c r="F23" s="21" t="e">
        <f>F22/F24</f>
        <v>#DIV/0!</v>
      </c>
      <c r="H23" t="s">
        <v>131</v>
      </c>
      <c r="I23" s="8"/>
      <c r="K23" s="18">
        <f>I25</f>
        <v>0</v>
      </c>
      <c r="L23" t="s">
        <v>139</v>
      </c>
      <c r="M23" s="8"/>
    </row>
    <row r="24" spans="1:11" ht="12.75">
      <c r="A24" t="s">
        <v>104</v>
      </c>
      <c r="B24" s="23">
        <f>B26/57.29577951*6076.10333</f>
        <v>0</v>
      </c>
      <c r="D24" t="s">
        <v>104</v>
      </c>
      <c r="E24" s="23" t="e">
        <f>E22/E23</f>
        <v>#DIV/0!</v>
      </c>
      <c r="F24" s="23">
        <f>F26/57.29577951*6076.10333</f>
        <v>0</v>
      </c>
      <c r="H24" t="s">
        <v>134</v>
      </c>
      <c r="I24">
        <f>I22-I23</f>
        <v>0</v>
      </c>
      <c r="K24" s="1" t="s">
        <v>140</v>
      </c>
    </row>
    <row r="25" spans="8:9" ht="12.75">
      <c r="H25" t="s">
        <v>141</v>
      </c>
      <c r="I25" s="8"/>
    </row>
    <row r="26" spans="1:9" ht="12.75">
      <c r="A26" t="s">
        <v>130</v>
      </c>
      <c r="B26" s="50"/>
      <c r="D26" t="s">
        <v>130</v>
      </c>
      <c r="E26" s="51" t="e">
        <f>E24/6076.10333*57.29577951</f>
        <v>#DIV/0!</v>
      </c>
      <c r="F26" s="50"/>
      <c r="H26" t="s">
        <v>142</v>
      </c>
      <c r="I26" s="23" t="e">
        <f>I24/I25</f>
        <v>#DIV/0!</v>
      </c>
    </row>
    <row r="27" spans="5:9" ht="12.75">
      <c r="E27" s="25"/>
      <c r="H27" t="s">
        <v>130</v>
      </c>
      <c r="I27" s="51" t="e">
        <f>I26/6076.10333*57.29577951</f>
        <v>#DIV/0!</v>
      </c>
    </row>
    <row r="29" spans="1:13" ht="12.75">
      <c r="A29" t="s">
        <v>143</v>
      </c>
      <c r="B29" s="8"/>
      <c r="D29" s="2"/>
      <c r="E29" s="2" t="s">
        <v>144</v>
      </c>
      <c r="F29" s="2"/>
      <c r="G29" s="2"/>
      <c r="J29" s="2" t="s">
        <v>145</v>
      </c>
      <c r="K29" s="2"/>
      <c r="L29" s="2" t="s">
        <v>146</v>
      </c>
      <c r="M29" s="2"/>
    </row>
    <row r="30" spans="4:13" ht="12.75">
      <c r="D30" s="2" t="s">
        <v>130</v>
      </c>
      <c r="E30" s="51">
        <f>B26</f>
        <v>0</v>
      </c>
      <c r="F30" s="2" t="s">
        <v>147</v>
      </c>
      <c r="G30" s="8"/>
      <c r="J30" s="2" t="s">
        <v>130</v>
      </c>
      <c r="K30" s="2">
        <v>0</v>
      </c>
      <c r="L30" s="2" t="s">
        <v>147</v>
      </c>
      <c r="M30" s="11"/>
    </row>
    <row r="31" spans="1:13" ht="12.75">
      <c r="A31" t="s">
        <v>105</v>
      </c>
      <c r="B31" s="16">
        <f>B24/60*B29</f>
        <v>0</v>
      </c>
      <c r="D31" s="2" t="s">
        <v>131</v>
      </c>
      <c r="E31" s="2">
        <f>B21</f>
        <v>0</v>
      </c>
      <c r="F31" s="2" t="s">
        <v>139</v>
      </c>
      <c r="G31" s="21">
        <f>B23-0.1</f>
        <v>-0.1</v>
      </c>
      <c r="J31" s="2" t="s">
        <v>131</v>
      </c>
      <c r="K31" s="2">
        <f>M21</f>
        <v>0</v>
      </c>
      <c r="L31" s="2" t="s">
        <v>139</v>
      </c>
      <c r="M31" s="21">
        <f>M23</f>
        <v>0</v>
      </c>
    </row>
    <row r="32" spans="4:13" ht="12.75">
      <c r="D32" s="2" t="s">
        <v>148</v>
      </c>
      <c r="E32" s="13">
        <f>B24*0.1</f>
        <v>0</v>
      </c>
      <c r="F32" s="2" t="s">
        <v>118</v>
      </c>
      <c r="G32" s="2">
        <v>0.1</v>
      </c>
      <c r="J32" s="2" t="s">
        <v>148</v>
      </c>
      <c r="K32" s="13">
        <f>M22</f>
        <v>0</v>
      </c>
      <c r="L32" s="2" t="s">
        <v>118</v>
      </c>
      <c r="M32" s="2">
        <v>1</v>
      </c>
    </row>
  </sheetData>
  <sheetProtection sheet="1" objects="1" scenarios="1"/>
  <protectedRanges>
    <protectedRange sqref="C3" name="Range27"/>
    <protectedRange sqref="B26" name="Range25"/>
    <protectedRange sqref="B23" name="Range24"/>
    <protectedRange sqref="B23" name="Range22"/>
    <protectedRange sqref="E23" name="Range20"/>
    <protectedRange sqref="M23" name="Range17"/>
    <protectedRange sqref="M21" name="Range15"/>
    <protectedRange sqref="F26" name="Range13"/>
    <protectedRange sqref="F20" name="Range11"/>
    <protectedRange sqref="G2" name="Range9"/>
    <protectedRange sqref="I25" name="Range7"/>
    <protectedRange sqref="I20:I21" name="Range5"/>
    <protectedRange sqref="E20:E21" name="Range4"/>
    <protectedRange sqref="E20" name="Range1"/>
    <protectedRange sqref="I23" name="Range6"/>
    <protectedRange sqref="G30" name="Range8"/>
    <protectedRange sqref="I2" name="Range10"/>
    <protectedRange sqref="F21" name="Range12"/>
    <protectedRange sqref="M20" name="Range14"/>
    <protectedRange sqref="M23" name="Range16"/>
    <protectedRange sqref="M30" name="Range18"/>
    <protectedRange sqref="E21" name="Range19"/>
    <protectedRange sqref="B21" name="Range21"/>
    <protectedRange sqref="B21" name="Range23"/>
    <protectedRange sqref="B29" name="Range26"/>
  </protectedRanges>
  <mergeCells count="1">
    <mergeCell ref="J21:K21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1" sqref="A1"/>
    </sheetView>
  </sheetViews>
  <sheetFormatPr defaultColWidth="9.140625" defaultRowHeight="12.75"/>
  <sheetData>
    <row r="1" spans="1:8" ht="12.75">
      <c r="A1" s="1" t="s">
        <v>189</v>
      </c>
      <c r="B1" s="1"/>
      <c r="C1" s="58">
        <f>180/PI()</f>
        <v>57.29577951308232</v>
      </c>
      <c r="E1" s="1" t="s">
        <v>190</v>
      </c>
      <c r="H1" t="s">
        <v>191</v>
      </c>
    </row>
    <row r="2" spans="1:8" ht="12.75">
      <c r="A2" s="1" t="s">
        <v>192</v>
      </c>
      <c r="B2" s="8"/>
      <c r="C2" s="1" t="s">
        <v>193</v>
      </c>
      <c r="D2" s="8"/>
      <c r="E2" t="s">
        <v>194</v>
      </c>
      <c r="F2" s="8"/>
      <c r="G2" s="38" t="s">
        <v>72</v>
      </c>
      <c r="H2" s="8"/>
    </row>
    <row r="3" spans="1:7" ht="12.75">
      <c r="A3" s="1" t="s">
        <v>195</v>
      </c>
      <c r="B3" s="8"/>
      <c r="C3" s="1" t="s">
        <v>196</v>
      </c>
      <c r="D3" s="8"/>
      <c r="E3" t="s">
        <v>197</v>
      </c>
      <c r="F3">
        <f>SIN(F2*PI()/180)</f>
        <v>0</v>
      </c>
      <c r="G3">
        <v>188.5</v>
      </c>
    </row>
    <row r="4" spans="1:8" ht="12.75">
      <c r="A4" s="1" t="s">
        <v>198</v>
      </c>
      <c r="B4" s="21" t="e">
        <f>B2*C1/B3</f>
        <v>#DIV/0!</v>
      </c>
      <c r="C4" s="1" t="s">
        <v>199</v>
      </c>
      <c r="D4" s="51">
        <f>D2*D3/C1</f>
        <v>0</v>
      </c>
      <c r="E4" t="s">
        <v>199</v>
      </c>
      <c r="F4" s="59">
        <f>H4*F3</f>
        <v>0</v>
      </c>
      <c r="G4" t="s">
        <v>199</v>
      </c>
      <c r="H4" s="25">
        <f>H2/188.4955592</f>
        <v>0</v>
      </c>
    </row>
    <row r="5" spans="1:8" ht="12.75">
      <c r="A5" s="1" t="s">
        <v>200</v>
      </c>
      <c r="B5" s="8"/>
      <c r="E5" t="s">
        <v>201</v>
      </c>
      <c r="F5" s="25">
        <f>H2/5654.866776</f>
        <v>0</v>
      </c>
      <c r="G5" t="s">
        <v>201</v>
      </c>
      <c r="H5" s="25">
        <f>H2/5654.866776</f>
        <v>0</v>
      </c>
    </row>
    <row r="6" spans="1:8" ht="12.75">
      <c r="A6" s="1" t="s">
        <v>198</v>
      </c>
      <c r="B6" s="21" t="e">
        <f>B4+B5</f>
        <v>#DIV/0!</v>
      </c>
      <c r="E6" t="s">
        <v>199</v>
      </c>
      <c r="F6" s="51">
        <f>F4+F5</f>
        <v>0</v>
      </c>
      <c r="G6" t="s">
        <v>199</v>
      </c>
      <c r="H6" s="51">
        <f>H4+H5</f>
        <v>0</v>
      </c>
    </row>
    <row r="7" spans="5:8" ht="12.75">
      <c r="E7" t="s">
        <v>202</v>
      </c>
      <c r="F7" s="8"/>
      <c r="G7" t="s">
        <v>202</v>
      </c>
      <c r="H7" s="8"/>
    </row>
    <row r="8" spans="5:8" ht="12.75">
      <c r="E8" t="s">
        <v>203</v>
      </c>
      <c r="F8" s="21" t="e">
        <f>F4/F7*C1</f>
        <v>#DIV/0!</v>
      </c>
      <c r="G8" t="s">
        <v>203</v>
      </c>
      <c r="H8" s="21" t="e">
        <f>H4/H7*C1</f>
        <v>#DIV/0!</v>
      </c>
    </row>
  </sheetData>
  <sheetProtection sheet="1" objects="1" scenarios="1"/>
  <protectedRanges>
    <protectedRange sqref="H7" name="Range7"/>
    <protectedRange sqref="F7" name="Range5"/>
    <protectedRange sqref="D2:D3" name="Range3"/>
    <protectedRange sqref="B2:B3" name="Range1"/>
    <protectedRange sqref="B5" name="Range2"/>
    <protectedRange sqref="F2" name="Range4"/>
    <protectedRange sqref="H2" name="Range6"/>
  </protectedRange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Lockheed Martin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2006-05-01T15:36:50Z</cp:lastPrinted>
  <dcterms:created xsi:type="dcterms:W3CDTF">2005-10-27T14:33:41Z</dcterms:created>
  <dcterms:modified xsi:type="dcterms:W3CDTF">2006-05-04T15:31:41Z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884877537</vt:i4>
  </property>
  <property fmtid="{D5CDD505-2E9C-101B-9397-08002B2CF9AE}" pid="3" name="_EmailSubject">
    <vt:lpwstr>C 130 Tool Box Ver 3.xls</vt:lpwstr>
  </property>
  <property fmtid="{D5CDD505-2E9C-101B-9397-08002B2CF9AE}" pid="4" name="_AuthorEmail">
    <vt:lpwstr>Warren.E.Petritsch@C130ATS.NET</vt:lpwstr>
  </property>
  <property fmtid="{D5CDD505-2E9C-101B-9397-08002B2CF9AE}" pid="5" name="_AuthorEmailDisplayName">
    <vt:lpwstr>Petritsch, Warren E.</vt:lpwstr>
  </property>
  <property fmtid="{D5CDD505-2E9C-101B-9397-08002B2CF9AE}" pid="6" name="_PreviousAdHocReviewCycleID">
    <vt:i4>1484290896</vt:i4>
  </property>
</Properties>
</file>